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D7B38FA9-22E4-459C-8A43-D133F3DE582E}" xr6:coauthVersionLast="38" xr6:coauthVersionMax="45" xr10:uidLastSave="{00000000-0000-0000-0000-000000000000}"/>
  <bookViews>
    <workbookView xWindow="23835" yWindow="780" windowWidth="29805" windowHeight="17850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DeanR - Personal View" guid="{A9DEFEA3-D23F-4755-A477-C77D98287ADE}" mergeInterval="0" personalView="1" maximized="1" windowWidth="1012" windowHeight="595" tabRatio="464" activeSheetId="2"/>
    <customWorkbookView name="Maio - Personal View" guid="{53E54750-EB7B-4534-9E39-36B4D05ACAEB}" mergeInterval="0" personalView="1" maximized="1" windowWidth="1276" windowHeight="861" tabRatio="464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Susanw - Personal View" guid="{8F0D6493-DB9F-4278-BADC-D4F224592E59}" mergeInterval="0" personalView="1" maximized="1" windowWidth="1148" windowHeight="702" tabRatio="918" activeSheetId="2"/>
    <customWorkbookView name="MarieB - Personal View" guid="{E1A82BD3-8422-11D6-9150-006008453A36}" mergeInterval="0" personalView="1" maximized="1" windowWidth="1276" windowHeight="834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tthewK - Personal View" guid="{7931A6C7-0C37-4E86-9551-0B8D9FE2E81B}" mergeInterval="0" personalView="1" maximized="1" windowWidth="1276" windowHeight="862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SarahT - Personal View" guid="{9816F32E-D80F-41D4-8A58-E0F6E97FF330}" mergeInterval="0" personalView="1" maximized="1" windowWidth="1276" windowHeight="834" tabRatio="918" activeSheetId="2"/>
    <customWorkbookView name="  - Personal View" guid="{C6861A0E-2265-4470-98A5-8B12149A9AFA}" mergeInterval="0" personalView="1" maximized="1" windowWidth="794" windowHeight="402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FaithA - Personal View" guid="{8BD24DD2-71C2-4877-804B-92D7756C8286}" mergeInterval="0" personalView="1" maximized="1" xWindow="6" yWindow="21" windowWidth="796" windowHeight="577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H587" i="2"/>
  <c r="G587" i="2"/>
  <c r="F587" i="2"/>
  <c r="E587" i="2"/>
  <c r="D587" i="2"/>
  <c r="O586" i="2"/>
  <c r="N586" i="2"/>
  <c r="M586" i="2"/>
  <c r="L586" i="2"/>
  <c r="K586" i="2"/>
  <c r="J586" i="2"/>
  <c r="H586" i="2"/>
  <c r="G586" i="2"/>
  <c r="F586" i="2"/>
  <c r="E586" i="2"/>
  <c r="D586" i="2"/>
  <c r="O585" i="2"/>
  <c r="N585" i="2"/>
  <c r="M585" i="2"/>
  <c r="L585" i="2"/>
  <c r="K585" i="2"/>
  <c r="J585" i="2"/>
  <c r="H585" i="2"/>
  <c r="G585" i="2"/>
  <c r="F585" i="2"/>
  <c r="E585" i="2"/>
  <c r="D585" i="2"/>
  <c r="O584" i="2"/>
  <c r="N584" i="2"/>
  <c r="M584" i="2"/>
  <c r="L584" i="2"/>
  <c r="K584" i="2"/>
  <c r="J584" i="2"/>
  <c r="H584" i="2"/>
  <c r="G584" i="2"/>
  <c r="F584" i="2"/>
  <c r="E584" i="2"/>
  <c r="D584" i="2"/>
  <c r="O583" i="2"/>
  <c r="N583" i="2"/>
  <c r="M583" i="2"/>
  <c r="L583" i="2"/>
  <c r="K583" i="2"/>
  <c r="J583" i="2"/>
  <c r="H583" i="2"/>
  <c r="G583" i="2"/>
  <c r="F583" i="2"/>
  <c r="E583" i="2"/>
  <c r="D583" i="2"/>
  <c r="O582" i="2"/>
  <c r="N582" i="2"/>
  <c r="M582" i="2"/>
  <c r="L582" i="2"/>
  <c r="K582" i="2"/>
  <c r="J582" i="2"/>
  <c r="H582" i="2"/>
  <c r="G582" i="2"/>
  <c r="F582" i="2"/>
  <c r="E582" i="2"/>
  <c r="D582" i="2"/>
  <c r="O581" i="2"/>
  <c r="N581" i="2"/>
  <c r="M581" i="2"/>
  <c r="L581" i="2"/>
  <c r="K581" i="2"/>
  <c r="J581" i="2"/>
  <c r="H581" i="2"/>
  <c r="G581" i="2"/>
  <c r="F581" i="2"/>
  <c r="E581" i="2"/>
  <c r="D581" i="2"/>
  <c r="O580" i="2"/>
  <c r="N580" i="2"/>
  <c r="M580" i="2"/>
  <c r="L580" i="2"/>
  <c r="K580" i="2"/>
  <c r="J580" i="2"/>
  <c r="H580" i="2"/>
  <c r="G580" i="2"/>
  <c r="F580" i="2"/>
  <c r="E580" i="2"/>
  <c r="D580" i="2"/>
  <c r="O579" i="2"/>
  <c r="N579" i="2"/>
  <c r="M579" i="2"/>
  <c r="L579" i="2"/>
  <c r="K579" i="2"/>
  <c r="J579" i="2"/>
  <c r="H579" i="2"/>
  <c r="G579" i="2"/>
  <c r="F579" i="2"/>
  <c r="E579" i="2"/>
  <c r="D579" i="2"/>
  <c r="O578" i="2"/>
  <c r="N578" i="2"/>
  <c r="M578" i="2"/>
  <c r="L578" i="2"/>
  <c r="K578" i="2"/>
  <c r="J578" i="2"/>
  <c r="H578" i="2"/>
  <c r="G578" i="2"/>
  <c r="F578" i="2"/>
  <c r="E578" i="2"/>
  <c r="D578" i="2"/>
  <c r="O577" i="2"/>
  <c r="N577" i="2"/>
  <c r="M577" i="2"/>
  <c r="L577" i="2"/>
  <c r="K577" i="2"/>
  <c r="J577" i="2"/>
  <c r="H577" i="2"/>
  <c r="G577" i="2"/>
  <c r="F577" i="2"/>
  <c r="E577" i="2"/>
  <c r="D577" i="2"/>
  <c r="O576" i="2"/>
  <c r="N576" i="2"/>
  <c r="M576" i="2"/>
  <c r="L576" i="2"/>
  <c r="K576" i="2"/>
  <c r="J576" i="2"/>
  <c r="H576" i="2"/>
  <c r="G576" i="2"/>
  <c r="F576" i="2"/>
  <c r="E576" i="2"/>
  <c r="D576" i="2"/>
  <c r="O575" i="2"/>
  <c r="N575" i="2"/>
  <c r="M575" i="2"/>
  <c r="L575" i="2"/>
  <c r="K575" i="2"/>
  <c r="J575" i="2"/>
  <c r="H575" i="2"/>
  <c r="G575" i="2"/>
  <c r="F575" i="2"/>
  <c r="E575" i="2"/>
  <c r="D575" i="2"/>
  <c r="O574" i="2"/>
  <c r="N574" i="2"/>
  <c r="M574" i="2"/>
  <c r="L574" i="2"/>
  <c r="K574" i="2"/>
  <c r="J574" i="2"/>
  <c r="H574" i="2"/>
  <c r="G574" i="2"/>
  <c r="F574" i="2"/>
  <c r="E574" i="2"/>
  <c r="D574" i="2"/>
  <c r="O573" i="2"/>
  <c r="N573" i="2"/>
  <c r="M573" i="2"/>
  <c r="L573" i="2"/>
  <c r="K573" i="2"/>
  <c r="J573" i="2"/>
  <c r="H573" i="2"/>
  <c r="G573" i="2"/>
  <c r="F573" i="2"/>
  <c r="E573" i="2"/>
  <c r="D573" i="2"/>
  <c r="O572" i="2"/>
  <c r="N572" i="2"/>
  <c r="M572" i="2"/>
  <c r="L572" i="2"/>
  <c r="K572" i="2"/>
  <c r="J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56" i="2"/>
  <c r="O557" i="2" s="1"/>
  <c r="N556" i="2"/>
  <c r="N557" i="2" s="1"/>
  <c r="M556" i="2"/>
  <c r="L556" i="2"/>
  <c r="K556" i="2"/>
  <c r="J556" i="2"/>
  <c r="H556" i="2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H554" i="2"/>
  <c r="G554" i="2"/>
  <c r="F554" i="2"/>
  <c r="E554" i="2"/>
  <c r="D554" i="2"/>
  <c r="O552" i="2"/>
  <c r="N552" i="2"/>
  <c r="M552" i="2"/>
  <c r="L552" i="2"/>
  <c r="K552" i="2"/>
  <c r="J552" i="2"/>
  <c r="H552" i="2"/>
  <c r="G552" i="2"/>
  <c r="F552" i="2"/>
  <c r="E552" i="2"/>
  <c r="D552" i="2"/>
  <c r="O550" i="2"/>
  <c r="N550" i="2"/>
  <c r="M550" i="2"/>
  <c r="L550" i="2"/>
  <c r="K550" i="2"/>
  <c r="J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K549" i="2"/>
  <c r="K555" i="2" s="1"/>
  <c r="J549" i="2"/>
  <c r="H549" i="2"/>
  <c r="G549" i="2"/>
  <c r="F549" i="2"/>
  <c r="E549" i="2"/>
  <c r="D591" i="2"/>
  <c r="K557" i="2" l="1"/>
  <c r="M557" i="2"/>
  <c r="J557" i="2"/>
  <c r="L557" i="2"/>
  <c r="L555" i="2"/>
  <c r="J551" i="2"/>
  <c r="F553" i="2"/>
  <c r="E555" i="2"/>
  <c r="H555" i="2"/>
  <c r="H557" i="2"/>
  <c r="G555" i="2"/>
  <c r="D555" i="2"/>
  <c r="F551" i="2"/>
  <c r="N551" i="2"/>
  <c r="G553" i="2"/>
  <c r="O553" i="2"/>
  <c r="H551" i="2"/>
  <c r="H553" i="2"/>
  <c r="J553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M1398" i="2" l="1"/>
  <c r="M1396" i="2"/>
  <c r="K1391" i="2"/>
  <c r="M1399" i="2" l="1"/>
  <c r="G1398" i="2"/>
  <c r="F1398" i="2"/>
  <c r="F1391" i="2"/>
  <c r="J1391" i="2"/>
  <c r="D1391" i="2"/>
  <c r="H1391" i="2"/>
  <c r="L1391" i="2"/>
  <c r="G1391" i="2"/>
  <c r="O1391" i="2"/>
  <c r="N1391" i="2"/>
  <c r="E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H1225" i="2"/>
  <c r="G1225" i="2"/>
  <c r="F1227" i="2"/>
  <c r="E1227" i="2"/>
  <c r="D1225" i="2"/>
  <c r="O1183" i="2"/>
  <c r="N1185" i="2"/>
  <c r="M1185" i="2"/>
  <c r="L1183" i="2"/>
  <c r="K1183" i="2"/>
  <c r="J1185" i="2"/>
  <c r="H1183" i="2"/>
  <c r="G1183" i="2"/>
  <c r="F1185" i="2"/>
  <c r="E1185" i="2"/>
  <c r="D1183" i="2"/>
  <c r="O1141" i="2"/>
  <c r="N1143" i="2"/>
  <c r="M1143" i="2"/>
  <c r="L1141" i="2"/>
  <c r="K1141" i="2"/>
  <c r="J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H973" i="2"/>
  <c r="G973" i="2"/>
  <c r="F975" i="2"/>
  <c r="E975" i="2"/>
  <c r="D973" i="2"/>
  <c r="O931" i="2"/>
  <c r="N933" i="2"/>
  <c r="M931" i="2"/>
  <c r="L931" i="2"/>
  <c r="K931" i="2"/>
  <c r="J933" i="2"/>
  <c r="H931" i="2"/>
  <c r="G931" i="2"/>
  <c r="F933" i="2"/>
  <c r="E931" i="2"/>
  <c r="D931" i="2"/>
  <c r="O889" i="2"/>
  <c r="N891" i="2"/>
  <c r="M891" i="2"/>
  <c r="L889" i="2"/>
  <c r="K889" i="2"/>
  <c r="J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H847" i="2"/>
  <c r="G847" i="2"/>
  <c r="F849" i="2"/>
  <c r="E849" i="2"/>
  <c r="D847" i="2"/>
  <c r="F809" i="2"/>
  <c r="O805" i="2"/>
  <c r="L807" i="2"/>
  <c r="K807" i="2"/>
  <c r="J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H721" i="2"/>
  <c r="G721" i="2"/>
  <c r="F721" i="2"/>
  <c r="E721" i="2"/>
  <c r="D721" i="2"/>
  <c r="O679" i="2"/>
  <c r="N681" i="2"/>
  <c r="M681" i="2"/>
  <c r="L679" i="2"/>
  <c r="K679" i="2"/>
  <c r="J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H595" i="2"/>
  <c r="G595" i="2"/>
  <c r="F597" i="2"/>
  <c r="E597" i="2"/>
  <c r="D595" i="2"/>
  <c r="O511" i="2"/>
  <c r="N513" i="2"/>
  <c r="M513" i="2"/>
  <c r="K511" i="2"/>
  <c r="G511" i="2"/>
  <c r="E513" i="2"/>
  <c r="O469" i="2"/>
  <c r="N471" i="2"/>
  <c r="M471" i="2"/>
  <c r="K469" i="2"/>
  <c r="G469" i="2"/>
  <c r="E471" i="2"/>
  <c r="O427" i="2"/>
  <c r="N429" i="2"/>
  <c r="M429" i="2"/>
  <c r="L427" i="2"/>
  <c r="K427" i="2"/>
  <c r="J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H343" i="2"/>
  <c r="G343" i="2"/>
  <c r="F345" i="2"/>
  <c r="E345" i="2"/>
  <c r="D343" i="2"/>
  <c r="O301" i="2"/>
  <c r="N303" i="2"/>
  <c r="M303" i="2"/>
  <c r="K301" i="2"/>
  <c r="G301" i="2"/>
  <c r="E301" i="2"/>
  <c r="O263" i="2"/>
  <c r="L263" i="2"/>
  <c r="H263" i="2"/>
  <c r="F263" i="2"/>
  <c r="E263" i="2"/>
  <c r="D263" i="2"/>
  <c r="O259" i="2"/>
  <c r="N261" i="2"/>
  <c r="M259" i="2"/>
  <c r="K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H175" i="2"/>
  <c r="G175" i="2"/>
  <c r="F177" i="2"/>
  <c r="D175" i="2"/>
  <c r="O133" i="2"/>
  <c r="N135" i="2"/>
  <c r="M135" i="2"/>
  <c r="L133" i="2"/>
  <c r="K133" i="2"/>
  <c r="J135" i="2"/>
  <c r="H133" i="2"/>
  <c r="G133" i="2"/>
  <c r="F135" i="2"/>
  <c r="E135" i="2"/>
  <c r="D133" i="2"/>
  <c r="H95" i="2"/>
  <c r="O91" i="2"/>
  <c r="N89" i="2"/>
  <c r="M91" i="2"/>
  <c r="K91" i="2"/>
  <c r="J89" i="2"/>
  <c r="H93" i="2"/>
  <c r="G91" i="2"/>
  <c r="F89" i="2"/>
  <c r="E91" i="2"/>
  <c r="O431" i="2" l="1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F431" i="2"/>
  <c r="J431" i="2"/>
  <c r="H893" i="2"/>
  <c r="F977" i="2"/>
  <c r="J977" i="2"/>
  <c r="E1101" i="2"/>
  <c r="F1271" i="2"/>
  <c r="J1271" i="2"/>
  <c r="J1355" i="2"/>
  <c r="E137" i="2"/>
  <c r="F599" i="2"/>
  <c r="F767" i="2"/>
  <c r="J767" i="2"/>
  <c r="E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H1271" i="2"/>
  <c r="L1271" i="2"/>
  <c r="G95" i="2"/>
  <c r="L95" i="2"/>
  <c r="K137" i="2"/>
  <c r="F179" i="2"/>
  <c r="J179" i="2"/>
  <c r="F217" i="2"/>
  <c r="J217" i="2"/>
  <c r="K263" i="2"/>
  <c r="E305" i="2"/>
  <c r="M305" i="2"/>
  <c r="L347" i="2"/>
  <c r="L431" i="2"/>
  <c r="E473" i="2"/>
  <c r="E515" i="2"/>
  <c r="L599" i="2"/>
  <c r="L641" i="2"/>
  <c r="G725" i="2"/>
  <c r="K725" i="2"/>
  <c r="H851" i="2"/>
  <c r="L851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M473" i="2"/>
  <c r="M515" i="2"/>
  <c r="M263" i="2"/>
  <c r="P727" i="2"/>
  <c r="M805" i="2"/>
  <c r="M1099" i="2"/>
  <c r="N807" i="2"/>
  <c r="N1013" i="2"/>
  <c r="P96" i="2"/>
  <c r="P99" i="2"/>
  <c r="P101" i="2"/>
  <c r="P103" i="2"/>
  <c r="Q103" i="2" s="1"/>
  <c r="P105" i="2"/>
  <c r="P108" i="2"/>
  <c r="P97" i="2"/>
  <c r="P98" i="2"/>
  <c r="P100" i="2"/>
  <c r="P102" i="2"/>
  <c r="P104" i="2"/>
  <c r="P106" i="2"/>
  <c r="Q106" i="2" s="1"/>
  <c r="P107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N723" i="2"/>
  <c r="P1026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D93" i="2"/>
  <c r="D91" i="2"/>
  <c r="L93" i="2"/>
  <c r="E89" i="2"/>
  <c r="F137" i="2"/>
  <c r="J137" i="2"/>
  <c r="L89" i="2"/>
  <c r="E95" i="2"/>
  <c r="M95" i="2"/>
  <c r="E173" i="2"/>
  <c r="M173" i="2"/>
  <c r="E177" i="2"/>
  <c r="M177" i="2"/>
  <c r="E179" i="2"/>
  <c r="M179" i="2"/>
  <c r="O215" i="2"/>
  <c r="O219" i="2"/>
  <c r="D259" i="2"/>
  <c r="H259" i="2"/>
  <c r="L259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D137" i="2"/>
  <c r="H137" i="2"/>
  <c r="L137" i="2"/>
  <c r="P180" i="2"/>
  <c r="P181" i="2"/>
  <c r="P182" i="2"/>
  <c r="P183" i="2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D221" i="2"/>
  <c r="H221" i="2"/>
  <c r="L221" i="2"/>
  <c r="K257" i="2"/>
  <c r="O261" i="2"/>
  <c r="D89" i="2"/>
  <c r="E93" i="2"/>
  <c r="M93" i="2"/>
  <c r="G179" i="2"/>
  <c r="K179" i="2"/>
  <c r="F261" i="2"/>
  <c r="J261" i="2"/>
  <c r="O257" i="2"/>
  <c r="H91" i="2"/>
  <c r="M89" i="2"/>
  <c r="H89" i="2"/>
  <c r="D95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D301" i="2"/>
  <c r="H301" i="2"/>
  <c r="L301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D347" i="2"/>
  <c r="P390" i="2"/>
  <c r="P391" i="2"/>
  <c r="P392" i="2"/>
  <c r="P393" i="2"/>
  <c r="P394" i="2"/>
  <c r="P395" i="2"/>
  <c r="P396" i="2"/>
  <c r="Q396" i="2" s="1"/>
  <c r="P397" i="2"/>
  <c r="P398" i="2"/>
  <c r="P399" i="2"/>
  <c r="Q399" i="2" s="1"/>
  <c r="P400" i="2"/>
  <c r="P401" i="2"/>
  <c r="P402" i="2"/>
  <c r="P403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D511" i="2"/>
  <c r="H511" i="2"/>
  <c r="L511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K299" i="2"/>
  <c r="O303" i="2"/>
  <c r="E347" i="2"/>
  <c r="M347" i="2"/>
  <c r="K389" i="2"/>
  <c r="E425" i="2"/>
  <c r="M425" i="2"/>
  <c r="E431" i="2"/>
  <c r="M431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D389" i="2"/>
  <c r="P432" i="2"/>
  <c r="P433" i="2"/>
  <c r="P434" i="2"/>
  <c r="P435" i="2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D469" i="2"/>
  <c r="H469" i="2"/>
  <c r="L469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M383" i="2"/>
  <c r="E389" i="2"/>
  <c r="M389" i="2"/>
  <c r="G431" i="2"/>
  <c r="K431" i="2"/>
  <c r="K467" i="2"/>
  <c r="O471" i="2"/>
  <c r="G513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D683" i="2"/>
  <c r="F719" i="2"/>
  <c r="J719" i="2"/>
  <c r="M719" i="2"/>
  <c r="F723" i="2"/>
  <c r="J723" i="2"/>
  <c r="M723" i="2"/>
  <c r="E765" i="2"/>
  <c r="M765" i="2"/>
  <c r="M761" i="2"/>
  <c r="D767" i="2"/>
  <c r="F803" i="2"/>
  <c r="J803" i="2"/>
  <c r="M803" i="2"/>
  <c r="J807" i="2"/>
  <c r="M807" i="2"/>
  <c r="E599" i="2"/>
  <c r="M599" i="2"/>
  <c r="K641" i="2"/>
  <c r="E677" i="2"/>
  <c r="M677" i="2"/>
  <c r="E683" i="2"/>
  <c r="M683" i="2"/>
  <c r="F761" i="2"/>
  <c r="J761" i="2"/>
  <c r="E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E719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E803" i="2"/>
  <c r="E807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G599" i="2"/>
  <c r="K599" i="2"/>
  <c r="E641" i="2"/>
  <c r="M641" i="2"/>
  <c r="G683" i="2"/>
  <c r="K683" i="2"/>
  <c r="E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N761" i="2"/>
  <c r="G767" i="2"/>
  <c r="K767" i="2"/>
  <c r="E809" i="2"/>
  <c r="M809" i="2"/>
  <c r="E851" i="2"/>
  <c r="G893" i="2"/>
  <c r="K893" i="2"/>
  <c r="E929" i="2"/>
  <c r="M929" i="2"/>
  <c r="E933" i="2"/>
  <c r="M933" i="2"/>
  <c r="E935" i="2"/>
  <c r="M935" i="2"/>
  <c r="G977" i="2"/>
  <c r="K977" i="2"/>
  <c r="E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D977" i="2"/>
  <c r="F1017" i="2"/>
  <c r="J1017" i="2"/>
  <c r="J1013" i="2"/>
  <c r="H1019" i="2"/>
  <c r="L1019" i="2"/>
  <c r="G1017" i="2"/>
  <c r="P1027" i="2"/>
  <c r="Q1027" i="2" s="1"/>
  <c r="P1028" i="2"/>
  <c r="P1029" i="2"/>
  <c r="P1030" i="2"/>
  <c r="P1031" i="2"/>
  <c r="P1032" i="2"/>
  <c r="P1033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E887" i="2"/>
  <c r="M887" i="2"/>
  <c r="E893" i="2"/>
  <c r="M893" i="2"/>
  <c r="G935" i="2"/>
  <c r="K935" i="2"/>
  <c r="E977" i="2"/>
  <c r="M977" i="2"/>
  <c r="K1013" i="2"/>
  <c r="K1017" i="2"/>
  <c r="E1055" i="2"/>
  <c r="M1055" i="2"/>
  <c r="E1061" i="2"/>
  <c r="M1061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O1017" i="2"/>
  <c r="G1101" i="2"/>
  <c r="G1145" i="2"/>
  <c r="K1145" i="2"/>
  <c r="E1187" i="2"/>
  <c r="M1187" i="2"/>
  <c r="G1229" i="2"/>
  <c r="K1229" i="2"/>
  <c r="D1099" i="2"/>
  <c r="H1099" i="2"/>
  <c r="L1099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E1145" i="2"/>
  <c r="M1145" i="2"/>
  <c r="G1187" i="2"/>
  <c r="K1187" i="2"/>
  <c r="E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E1271" i="2"/>
  <c r="G1355" i="2"/>
  <c r="K1355" i="2"/>
  <c r="D1229" i="2"/>
  <c r="P1272" i="2"/>
  <c r="P1273" i="2"/>
  <c r="P1274" i="2"/>
  <c r="P1275" i="2"/>
  <c r="P1276" i="2"/>
  <c r="P1277" i="2"/>
  <c r="P1278" i="2"/>
  <c r="P1279" i="2"/>
  <c r="P1280" i="2"/>
  <c r="P1281" i="2"/>
  <c r="Q1281" i="2" s="1"/>
  <c r="P1282" i="2"/>
  <c r="P1283" i="2"/>
  <c r="P1284" i="2"/>
  <c r="Q1284" i="2" s="1"/>
  <c r="P1285" i="2"/>
  <c r="E1307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D1355" i="2"/>
  <c r="G1271" i="2"/>
  <c r="K1271" i="2"/>
  <c r="E1313" i="2"/>
  <c r="M1313" i="2"/>
  <c r="E1355" i="2"/>
  <c r="M1355" i="2"/>
  <c r="G1349" i="2"/>
  <c r="K1349" i="2"/>
  <c r="O1349" i="2"/>
  <c r="E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M1349" i="2"/>
  <c r="F1349" i="2"/>
  <c r="J1349" i="2"/>
  <c r="N1349" i="2"/>
  <c r="G1309" i="2"/>
  <c r="K1309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M1265" i="2"/>
  <c r="F1265" i="2"/>
  <c r="J1265" i="2"/>
  <c r="N1265" i="2"/>
  <c r="G1223" i="2"/>
  <c r="K1223" i="2"/>
  <c r="O1223" i="2"/>
  <c r="E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M1223" i="2"/>
  <c r="F1223" i="2"/>
  <c r="J1223" i="2"/>
  <c r="N1223" i="2"/>
  <c r="G1181" i="2"/>
  <c r="K1181" i="2"/>
  <c r="O1181" i="2"/>
  <c r="E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M1181" i="2"/>
  <c r="F1181" i="2"/>
  <c r="J1181" i="2"/>
  <c r="N1181" i="2"/>
  <c r="G1139" i="2"/>
  <c r="K1139" i="2"/>
  <c r="O1139" i="2"/>
  <c r="E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M1139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E1097" i="2"/>
  <c r="M1097" i="2"/>
  <c r="M1101" i="2"/>
  <c r="F1097" i="2"/>
  <c r="J1097" i="2"/>
  <c r="N1097" i="2"/>
  <c r="G1055" i="2"/>
  <c r="K1055" i="2"/>
  <c r="O1055" i="2"/>
  <c r="E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M1015" i="2"/>
  <c r="E1013" i="2"/>
  <c r="M1013" i="2"/>
  <c r="G971" i="2"/>
  <c r="K971" i="2"/>
  <c r="O971" i="2"/>
  <c r="E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M971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F929" i="2"/>
  <c r="J929" i="2"/>
  <c r="N929" i="2"/>
  <c r="G887" i="2"/>
  <c r="K887" i="2"/>
  <c r="O887" i="2"/>
  <c r="E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F887" i="2"/>
  <c r="J887" i="2"/>
  <c r="N887" i="2"/>
  <c r="G845" i="2"/>
  <c r="K845" i="2"/>
  <c r="O845" i="2"/>
  <c r="E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M845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M763" i="2"/>
  <c r="G765" i="2"/>
  <c r="K765" i="2"/>
  <c r="O765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G677" i="2"/>
  <c r="K677" i="2"/>
  <c r="O677" i="2"/>
  <c r="E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F677" i="2"/>
  <c r="J677" i="2"/>
  <c r="N677" i="2"/>
  <c r="G635" i="2"/>
  <c r="K635" i="2"/>
  <c r="O635" i="2"/>
  <c r="E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M635" i="2"/>
  <c r="F635" i="2"/>
  <c r="J635" i="2"/>
  <c r="N635" i="2"/>
  <c r="G593" i="2"/>
  <c r="K593" i="2"/>
  <c r="O593" i="2"/>
  <c r="E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M593" i="2"/>
  <c r="F593" i="2"/>
  <c r="J593" i="2"/>
  <c r="N593" i="2"/>
  <c r="D509" i="2"/>
  <c r="H509" i="2"/>
  <c r="L509" i="2"/>
  <c r="F511" i="2"/>
  <c r="J511" i="2"/>
  <c r="N511" i="2"/>
  <c r="D513" i="2"/>
  <c r="H513" i="2"/>
  <c r="L513" i="2"/>
  <c r="E511" i="2"/>
  <c r="M511" i="2"/>
  <c r="E509" i="2"/>
  <c r="M509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E467" i="2"/>
  <c r="M467" i="2"/>
  <c r="F467" i="2"/>
  <c r="J467" i="2"/>
  <c r="N467" i="2"/>
  <c r="G425" i="2"/>
  <c r="K425" i="2"/>
  <c r="O425" i="2"/>
  <c r="E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F425" i="2"/>
  <c r="J425" i="2"/>
  <c r="N425" i="2"/>
  <c r="G383" i="2"/>
  <c r="K383" i="2"/>
  <c r="O383" i="2"/>
  <c r="E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F383" i="2"/>
  <c r="J383" i="2"/>
  <c r="N383" i="2"/>
  <c r="G341" i="2"/>
  <c r="K341" i="2"/>
  <c r="O341" i="2"/>
  <c r="E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M341" i="2"/>
  <c r="F341" i="2"/>
  <c r="J341" i="2"/>
  <c r="N341" i="2"/>
  <c r="M301" i="2"/>
  <c r="D299" i="2"/>
  <c r="H299" i="2"/>
  <c r="L299" i="2"/>
  <c r="F301" i="2"/>
  <c r="J301" i="2"/>
  <c r="N301" i="2"/>
  <c r="D303" i="2"/>
  <c r="H303" i="2"/>
  <c r="L303" i="2"/>
  <c r="E299" i="2"/>
  <c r="M299" i="2"/>
  <c r="E303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M257" i="2"/>
  <c r="E261" i="2"/>
  <c r="M261" i="2"/>
  <c r="F257" i="2"/>
  <c r="J257" i="2"/>
  <c r="N257" i="2"/>
  <c r="D215" i="2"/>
  <c r="H215" i="2"/>
  <c r="L215" i="2"/>
  <c r="D219" i="2"/>
  <c r="H219" i="2"/>
  <c r="L219" i="2"/>
  <c r="M217" i="2"/>
  <c r="E215" i="2"/>
  <c r="M215" i="2"/>
  <c r="E219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M131" i="2"/>
  <c r="F131" i="2"/>
  <c r="J131" i="2"/>
  <c r="N131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527" i="2" l="1"/>
  <c r="Q564" i="2"/>
  <c r="Q1285" i="2"/>
  <c r="Q567" i="2"/>
  <c r="Q1316" i="2"/>
  <c r="Q1064" i="2"/>
  <c r="Q726" i="2"/>
  <c r="Q739" i="2"/>
  <c r="Q1106" i="2"/>
  <c r="Q984" i="2"/>
  <c r="Q313" i="2"/>
  <c r="Q264" i="2"/>
  <c r="Q1069" i="2"/>
  <c r="Q397" i="2"/>
  <c r="Q1358" i="2"/>
  <c r="Q402" i="2"/>
  <c r="Q98" i="2"/>
  <c r="Q1274" i="2"/>
  <c r="Q696" i="2"/>
  <c r="Q738" i="2"/>
  <c r="Q190" i="2"/>
  <c r="Q182" i="2"/>
  <c r="Q652" i="2"/>
  <c r="Q192" i="2"/>
  <c r="Q1200" i="2"/>
  <c r="Q822" i="2"/>
  <c r="Q1272" i="2"/>
  <c r="Q568" i="2"/>
  <c r="Q814" i="2"/>
  <c r="Q1280" i="2"/>
  <c r="Q987" i="2"/>
  <c r="Q737" i="2"/>
  <c r="Q613" i="2"/>
  <c r="Q605" i="2"/>
  <c r="Q401" i="2"/>
  <c r="Q817" i="2"/>
  <c r="Q392" i="2"/>
  <c r="Q823" i="2"/>
  <c r="Q523" i="2"/>
  <c r="Q1072" i="2"/>
  <c r="Q1198" i="2"/>
  <c r="Q900" i="2"/>
  <c r="Q1154" i="2"/>
  <c r="Q906" i="2"/>
  <c r="Q773" i="2"/>
  <c r="Q1326" i="2"/>
  <c r="Q361" i="2"/>
  <c r="Q108" i="2"/>
  <c r="Q945" i="2"/>
  <c r="Q858" i="2"/>
  <c r="Q1239" i="2"/>
  <c r="Q102" i="2"/>
  <c r="Q1110" i="2"/>
  <c r="Q655" i="2"/>
  <c r="Q276" i="2"/>
  <c r="Q109" i="2"/>
  <c r="Q854" i="2"/>
  <c r="Q651" i="2"/>
  <c r="Q1323" i="2"/>
  <c r="Q690" i="2"/>
  <c r="Q518" i="2"/>
  <c r="Q483" i="2"/>
  <c r="Q1190" i="2"/>
  <c r="Q1113" i="2"/>
  <c r="Q1071" i="2"/>
  <c r="Q728" i="2"/>
  <c r="Q270" i="2"/>
  <c r="Q736" i="2"/>
  <c r="Q732" i="2"/>
  <c r="Q863" i="2"/>
  <c r="Q1237" i="2"/>
  <c r="Q442" i="2"/>
  <c r="Q1026" i="2"/>
  <c r="Q445" i="2"/>
  <c r="Q444" i="2"/>
  <c r="Q991" i="2"/>
  <c r="Q1148" i="2"/>
  <c r="Q1159" i="2"/>
  <c r="Q1324" i="2"/>
  <c r="Q400" i="2"/>
  <c r="Q1116" i="2"/>
  <c r="Q938" i="2"/>
  <c r="Q150" i="2"/>
  <c r="Q476" i="2"/>
  <c r="Q861" i="2"/>
  <c r="Q948" i="2"/>
  <c r="Q438" i="2"/>
  <c r="Q434" i="2"/>
  <c r="Q1320" i="2"/>
  <c r="Q317" i="2"/>
  <c r="Q571" i="2"/>
  <c r="Q358" i="2"/>
  <c r="Q570" i="2"/>
  <c r="Q897" i="2"/>
  <c r="Q862" i="2"/>
  <c r="Q403" i="2"/>
  <c r="Q395" i="2"/>
  <c r="Q815" i="2"/>
  <c r="Q901" i="2"/>
  <c r="Q820" i="2"/>
  <c r="Q819" i="2"/>
  <c r="Q1074" i="2"/>
  <c r="Q936" i="2"/>
  <c r="Q440" i="2"/>
  <c r="Q1194" i="2"/>
  <c r="Q864" i="2"/>
  <c r="Q611" i="2"/>
  <c r="Q562" i="2"/>
  <c r="Q104" i="2"/>
  <c r="Q1152" i="2"/>
  <c r="Q1201" i="2"/>
  <c r="Q902" i="2"/>
  <c r="Q894" i="2"/>
  <c r="Q816" i="2"/>
  <c r="Q812" i="2"/>
  <c r="Q947" i="2"/>
  <c r="Q1108" i="2"/>
  <c r="Q907" i="2"/>
  <c r="Q1199" i="2"/>
  <c r="Q949" i="2"/>
  <c r="Q941" i="2"/>
  <c r="Q860" i="2"/>
  <c r="Q852" i="2"/>
  <c r="Q735" i="2"/>
  <c r="Q600" i="2"/>
  <c r="Q393" i="2"/>
  <c r="Q138" i="2"/>
  <c r="Q107" i="2"/>
  <c r="Q100" i="2"/>
  <c r="Q101" i="2"/>
  <c r="Q234" i="2"/>
  <c r="Q105" i="2"/>
  <c r="Q99" i="2"/>
  <c r="Q144" i="2"/>
  <c r="Q229" i="2"/>
  <c r="Q612" i="2"/>
  <c r="Q604" i="2"/>
  <c r="Q731" i="2"/>
  <c r="Q778" i="2"/>
  <c r="Q148" i="2"/>
  <c r="Q232" i="2"/>
  <c r="Q608" i="2"/>
  <c r="Q1157" i="2"/>
  <c r="Q780" i="2"/>
  <c r="Q772" i="2"/>
  <c r="Q1156" i="2"/>
  <c r="Q779" i="2"/>
  <c r="Q775" i="2"/>
  <c r="Q1325" i="2"/>
  <c r="Q569" i="2"/>
  <c r="Q1155" i="2"/>
  <c r="Q1151" i="2"/>
  <c r="Q1192" i="2"/>
  <c r="Q1188" i="2"/>
  <c r="Q978" i="2"/>
  <c r="Q946" i="2"/>
  <c r="Q942" i="2"/>
  <c r="Q730" i="2"/>
  <c r="Q821" i="2"/>
  <c r="Q695" i="2"/>
  <c r="Q610" i="2"/>
  <c r="Q606" i="2"/>
  <c r="Q441" i="2"/>
  <c r="Q360" i="2"/>
  <c r="Q352" i="2"/>
  <c r="Q348" i="2"/>
  <c r="Q516" i="2"/>
  <c r="Q318" i="2"/>
  <c r="Q267" i="2"/>
  <c r="Q188" i="2"/>
  <c r="Q1153" i="2"/>
  <c r="Q1238" i="2"/>
  <c r="Q1240" i="2"/>
  <c r="Q1236" i="2"/>
  <c r="Q1232" i="2"/>
  <c r="Q398" i="2"/>
  <c r="Q394" i="2"/>
  <c r="Q390" i="2"/>
  <c r="Q1243" i="2"/>
  <c r="Q1241" i="2"/>
  <c r="Q1242" i="2"/>
  <c r="Q1277" i="2"/>
  <c r="Q357" i="2"/>
  <c r="Q151" i="2"/>
  <c r="Q147" i="2"/>
  <c r="Q235" i="2"/>
  <c r="Q231" i="2"/>
  <c r="Q227" i="2"/>
  <c r="Q1327" i="2"/>
  <c r="Q1319" i="2"/>
  <c r="Q694" i="2"/>
  <c r="Q654" i="2"/>
  <c r="Q648" i="2"/>
  <c r="Q180" i="2"/>
  <c r="Q480" i="2"/>
  <c r="Q688" i="2"/>
  <c r="Q684" i="2"/>
  <c r="Q1367" i="2"/>
  <c r="Q650" i="2"/>
  <c r="Q644" i="2"/>
  <c r="Q990" i="2"/>
  <c r="Q1033" i="2"/>
  <c r="Q193" i="2"/>
  <c r="Q269" i="2"/>
  <c r="Q1029" i="2"/>
  <c r="Q1030" i="2"/>
  <c r="Q646" i="2"/>
  <c r="Q487" i="2"/>
  <c r="Q485" i="2"/>
  <c r="Q1068" i="2"/>
  <c r="Q1282" i="2"/>
  <c r="Q186" i="2"/>
  <c r="Q272" i="2"/>
  <c r="Q316" i="2"/>
  <c r="Q306" i="2"/>
  <c r="Q486" i="2"/>
  <c r="Q481" i="2"/>
  <c r="Q529" i="2"/>
  <c r="Q525" i="2"/>
  <c r="Q649" i="2"/>
  <c r="Q645" i="2"/>
  <c r="Q986" i="2"/>
  <c r="Q1114" i="2"/>
  <c r="Q1283" i="2"/>
  <c r="Q1278" i="2"/>
  <c r="Q1364" i="2"/>
  <c r="Q189" i="2"/>
  <c r="Q184" i="2"/>
  <c r="Q484" i="2"/>
  <c r="Q653" i="2"/>
  <c r="Q647" i="2"/>
  <c r="Q989" i="2"/>
  <c r="Q1032" i="2"/>
  <c r="Q1075" i="2"/>
  <c r="Q1117" i="2"/>
  <c r="Q1109" i="2"/>
  <c r="Q1104" i="2"/>
  <c r="Q1368" i="2"/>
  <c r="Q319" i="2"/>
  <c r="Q526" i="2"/>
  <c r="Q521" i="2"/>
  <c r="Q1031" i="2"/>
  <c r="Q1279" i="2"/>
  <c r="Q1366" i="2"/>
  <c r="Q1356" i="2"/>
  <c r="Q1369" i="2"/>
  <c r="Q1365" i="2"/>
  <c r="Q1022" i="2"/>
  <c r="Q1020" i="2"/>
  <c r="Q642" i="2"/>
  <c r="M51" i="2" l="1"/>
  <c r="H53" i="2"/>
  <c r="M47" i="2"/>
  <c r="O49" i="2"/>
  <c r="N51" i="2"/>
  <c r="M49" i="2"/>
  <c r="L49" i="2"/>
  <c r="K49" i="2"/>
  <c r="J51" i="2"/>
  <c r="H49" i="2"/>
  <c r="G49" i="2"/>
  <c r="F51" i="2"/>
  <c r="O53" i="2" l="1"/>
  <c r="N53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M1416" i="2"/>
  <c r="E1417" i="2"/>
  <c r="M1417" i="2"/>
  <c r="E1418" i="2"/>
  <c r="M1418" i="2"/>
  <c r="E1419" i="2"/>
  <c r="M1419" i="2"/>
  <c r="E1420" i="2"/>
  <c r="M1420" i="2"/>
  <c r="E1421" i="2"/>
  <c r="M1421" i="2"/>
  <c r="E1422" i="2"/>
  <c r="M1422" i="2"/>
  <c r="E1423" i="2"/>
  <c r="M1423" i="2"/>
  <c r="E1424" i="2"/>
  <c r="M1424" i="2"/>
  <c r="M1425" i="2"/>
  <c r="M1426" i="2"/>
  <c r="M1427" i="2"/>
  <c r="M1428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M53" i="2"/>
  <c r="F53" i="2"/>
  <c r="J53" i="2"/>
  <c r="K53" i="2"/>
  <c r="E51" i="2"/>
  <c r="L53" i="2"/>
  <c r="E49" i="2"/>
  <c r="E47" i="2"/>
  <c r="E53" i="2"/>
  <c r="G53" i="2"/>
  <c r="P66" i="2"/>
  <c r="P67" i="2"/>
  <c r="P55" i="2"/>
  <c r="P57" i="2"/>
  <c r="P58" i="2"/>
  <c r="P60" i="2"/>
  <c r="P62" i="2"/>
  <c r="P64" i="2"/>
  <c r="P65" i="2"/>
  <c r="P54" i="2"/>
  <c r="P56" i="2"/>
  <c r="P59" i="2"/>
  <c r="P61" i="2"/>
  <c r="P63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F47" i="2"/>
  <c r="J47" i="2"/>
  <c r="N47" i="2"/>
  <c r="Q61" i="2" l="1"/>
  <c r="Q65" i="2"/>
  <c r="Q58" i="2"/>
  <c r="Q66" i="2"/>
  <c r="Q60" i="2"/>
  <c r="Q54" i="2"/>
  <c r="Q56" i="2"/>
  <c r="Q62" i="2"/>
  <c r="Q64" i="2"/>
  <c r="Q67" i="2"/>
  <c r="O1415" i="2" l="1"/>
  <c r="N1415" i="2"/>
  <c r="M1415" i="2"/>
  <c r="L1415" i="2"/>
  <c r="K1415" i="2"/>
  <c r="J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H1414" i="2"/>
  <c r="G1414" i="2"/>
  <c r="P12" i="2"/>
  <c r="O11" i="2" l="1"/>
  <c r="N11" i="2"/>
  <c r="M11" i="2"/>
  <c r="J11" i="2"/>
  <c r="F11" i="2"/>
  <c r="L11" i="2" l="1"/>
  <c r="H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L1398" i="2"/>
  <c r="K1398" i="2"/>
  <c r="J1398" i="2"/>
  <c r="H1398" i="2"/>
  <c r="O1396" i="2"/>
  <c r="N1396" i="2"/>
  <c r="L1396" i="2"/>
  <c r="K1396" i="2"/>
  <c r="J1396" i="2"/>
  <c r="H1396" i="2"/>
  <c r="O1394" i="2"/>
  <c r="N1394" i="2"/>
  <c r="M1394" i="2"/>
  <c r="L1394" i="2"/>
  <c r="K1394" i="2"/>
  <c r="J1394" i="2"/>
  <c r="H1394" i="2"/>
  <c r="O1392" i="2"/>
  <c r="N1392" i="2"/>
  <c r="M1392" i="2"/>
  <c r="L1392" i="2"/>
  <c r="K1392" i="2"/>
  <c r="J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D11" i="2"/>
  <c r="L1399" i="2"/>
  <c r="E11" i="2"/>
  <c r="K1399" i="2"/>
  <c r="J1399" i="2"/>
  <c r="E1398" i="2"/>
  <c r="E1399" i="2" s="1"/>
  <c r="D1399" i="2"/>
  <c r="H1399" i="2"/>
  <c r="D7" i="2"/>
  <c r="D5" i="2"/>
  <c r="D9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Q14" i="2" l="1"/>
  <c r="Q24" i="2"/>
  <c r="Q23" i="2"/>
  <c r="Q18" i="2"/>
  <c r="Q12" i="2"/>
  <c r="Q15" i="2"/>
  <c r="Q22" i="2"/>
  <c r="Q19" i="2"/>
  <c r="Q20" i="2"/>
  <c r="G11" i="2"/>
  <c r="G9" i="2"/>
  <c r="G1392" i="2"/>
  <c r="G1399" i="2" s="1"/>
  <c r="G1396" i="2"/>
  <c r="G5" i="2"/>
  <c r="G1397" i="2" l="1"/>
  <c r="G7" i="2"/>
  <c r="G1393" i="2"/>
  <c r="G1394" i="2"/>
  <c r="G1395" i="2" l="1"/>
  <c r="Q1407" i="2"/>
  <c r="Q1410" i="2"/>
  <c r="I52" i="2" l="1"/>
  <c r="I92" i="2"/>
  <c r="P92" i="2" s="1"/>
  <c r="I46" i="2"/>
  <c r="P46" i="2" s="1"/>
  <c r="Q57" i="2" s="1"/>
  <c r="I69" i="2"/>
  <c r="P69" i="2" s="1"/>
  <c r="Q69" i="2" s="1"/>
  <c r="Q63" i="2" l="1"/>
  <c r="Q59" i="2"/>
  <c r="Q55" i="2"/>
  <c r="P52" i="2"/>
  <c r="I53" i="2"/>
  <c r="I1385" i="2" l="1"/>
  <c r="I1384" i="2"/>
  <c r="I1383" i="2"/>
  <c r="I1382" i="2"/>
  <c r="I1381" i="2"/>
  <c r="I1379" i="2"/>
  <c r="I1378" i="2"/>
  <c r="I1377" i="2"/>
  <c r="I1376" i="2"/>
  <c r="I1375" i="2"/>
  <c r="I1374" i="2"/>
  <c r="I1373" i="2"/>
  <c r="I1372" i="2"/>
  <c r="I1371" i="2"/>
  <c r="I1354" i="2"/>
  <c r="I1352" i="2"/>
  <c r="I1348" i="2"/>
  <c r="I1347" i="2"/>
  <c r="I1343" i="2"/>
  <c r="P1343" i="2" s="1"/>
  <c r="Q1343" i="2" s="1"/>
  <c r="I1342" i="2"/>
  <c r="P1342" i="2" s="1"/>
  <c r="Q1342" i="2" s="1"/>
  <c r="I1341" i="2"/>
  <c r="P1341" i="2" s="1"/>
  <c r="Q1341" i="2" s="1"/>
  <c r="I1340" i="2"/>
  <c r="P1340" i="2" s="1"/>
  <c r="Q1340" i="2" s="1"/>
  <c r="I1339" i="2"/>
  <c r="P1339" i="2" s="1"/>
  <c r="Q1339" i="2" s="1"/>
  <c r="I1337" i="2"/>
  <c r="P1337" i="2" s="1"/>
  <c r="Q1337" i="2" s="1"/>
  <c r="I1336" i="2"/>
  <c r="P1336" i="2" s="1"/>
  <c r="Q1336" i="2" s="1"/>
  <c r="I1335" i="2"/>
  <c r="P1335" i="2" s="1"/>
  <c r="Q1335" i="2" s="1"/>
  <c r="I1334" i="2"/>
  <c r="P1334" i="2" s="1"/>
  <c r="I1333" i="2"/>
  <c r="P1333" i="2" s="1"/>
  <c r="I1332" i="2"/>
  <c r="P1332" i="2" s="1"/>
  <c r="Q1332" i="2" s="1"/>
  <c r="I1331" i="2"/>
  <c r="P1331" i="2" s="1"/>
  <c r="Q1331" i="2" s="1"/>
  <c r="I1330" i="2"/>
  <c r="P1330" i="2" s="1"/>
  <c r="I1329" i="2"/>
  <c r="P1329" i="2" s="1"/>
  <c r="I1312" i="2"/>
  <c r="I1310" i="2"/>
  <c r="P1310" i="2" s="1"/>
  <c r="I1306" i="2"/>
  <c r="P1306" i="2" s="1"/>
  <c r="I1305" i="2"/>
  <c r="I1301" i="2"/>
  <c r="P1301" i="2" s="1"/>
  <c r="Q1301" i="2" s="1"/>
  <c r="I1300" i="2"/>
  <c r="P1300" i="2" s="1"/>
  <c r="Q1300" i="2" s="1"/>
  <c r="I1299" i="2"/>
  <c r="P1299" i="2" s="1"/>
  <c r="Q1299" i="2" s="1"/>
  <c r="I1298" i="2"/>
  <c r="P1298" i="2" s="1"/>
  <c r="Q1298" i="2" s="1"/>
  <c r="I1297" i="2"/>
  <c r="P1297" i="2" s="1"/>
  <c r="Q1297" i="2" s="1"/>
  <c r="I1295" i="2"/>
  <c r="P1295" i="2" s="1"/>
  <c r="Q1295" i="2" s="1"/>
  <c r="I1294" i="2"/>
  <c r="P1294" i="2" s="1"/>
  <c r="Q1294" i="2" s="1"/>
  <c r="I1293" i="2"/>
  <c r="P1293" i="2" s="1"/>
  <c r="Q1293" i="2" s="1"/>
  <c r="I1292" i="2"/>
  <c r="P1292" i="2" s="1"/>
  <c r="I1291" i="2"/>
  <c r="P1291" i="2" s="1"/>
  <c r="I1290" i="2"/>
  <c r="P1290" i="2" s="1"/>
  <c r="Q1290" i="2" s="1"/>
  <c r="I1289" i="2"/>
  <c r="P1289" i="2" s="1"/>
  <c r="Q1289" i="2" s="1"/>
  <c r="I1288" i="2"/>
  <c r="P1288" i="2" s="1"/>
  <c r="I1287" i="2"/>
  <c r="P1287" i="2" s="1"/>
  <c r="Q1287" i="2" s="1"/>
  <c r="I1270" i="2"/>
  <c r="I1268" i="2"/>
  <c r="P1268" i="2" s="1"/>
  <c r="I1264" i="2"/>
  <c r="P1264" i="2" s="1"/>
  <c r="I1263" i="2"/>
  <c r="I1259" i="2"/>
  <c r="P1259" i="2" s="1"/>
  <c r="Q1259" i="2" s="1"/>
  <c r="I1258" i="2"/>
  <c r="P1258" i="2" s="1"/>
  <c r="Q1258" i="2" s="1"/>
  <c r="I1257" i="2"/>
  <c r="P1257" i="2" s="1"/>
  <c r="Q1257" i="2" s="1"/>
  <c r="I1256" i="2"/>
  <c r="P1256" i="2" s="1"/>
  <c r="Q1256" i="2" s="1"/>
  <c r="I1255" i="2"/>
  <c r="P1255" i="2" s="1"/>
  <c r="Q1255" i="2" s="1"/>
  <c r="I1253" i="2"/>
  <c r="P1253" i="2" s="1"/>
  <c r="Q1253" i="2" s="1"/>
  <c r="I1252" i="2"/>
  <c r="P1252" i="2" s="1"/>
  <c r="Q1252" i="2" s="1"/>
  <c r="I1251" i="2"/>
  <c r="P1251" i="2" s="1"/>
  <c r="I1250" i="2"/>
  <c r="P1250" i="2" s="1"/>
  <c r="I1249" i="2"/>
  <c r="P1249" i="2" s="1"/>
  <c r="I1248" i="2"/>
  <c r="P1248" i="2" s="1"/>
  <c r="I1247" i="2"/>
  <c r="P1247" i="2" s="1"/>
  <c r="Q1247" i="2" s="1"/>
  <c r="I1246" i="2"/>
  <c r="P1246" i="2" s="1"/>
  <c r="I1245" i="2"/>
  <c r="P1245" i="2" s="1"/>
  <c r="I1228" i="2"/>
  <c r="I1226" i="2"/>
  <c r="P1226" i="2" s="1"/>
  <c r="I1222" i="2"/>
  <c r="P1222" i="2" s="1"/>
  <c r="Q1234" i="2" s="1"/>
  <c r="I1221" i="2"/>
  <c r="I1217" i="2"/>
  <c r="P1217" i="2" s="1"/>
  <c r="Q1217" i="2" s="1"/>
  <c r="I1216" i="2"/>
  <c r="P1216" i="2" s="1"/>
  <c r="Q1216" i="2" s="1"/>
  <c r="I1215" i="2"/>
  <c r="P1215" i="2" s="1"/>
  <c r="I1214" i="2"/>
  <c r="P1214" i="2" s="1"/>
  <c r="Q1214" i="2" s="1"/>
  <c r="I1213" i="2"/>
  <c r="P1213" i="2" s="1"/>
  <c r="Q1213" i="2" s="1"/>
  <c r="I1211" i="2"/>
  <c r="P1211" i="2" s="1"/>
  <c r="Q1211" i="2" s="1"/>
  <c r="I1210" i="2"/>
  <c r="P1210" i="2" s="1"/>
  <c r="Q1210" i="2" s="1"/>
  <c r="I1209" i="2"/>
  <c r="P1209" i="2" s="1"/>
  <c r="Q1209" i="2" s="1"/>
  <c r="I1208" i="2"/>
  <c r="P1208" i="2" s="1"/>
  <c r="Q1208" i="2" s="1"/>
  <c r="I1207" i="2"/>
  <c r="P1207" i="2" s="1"/>
  <c r="Q1207" i="2" s="1"/>
  <c r="I1206" i="2"/>
  <c r="P1206" i="2" s="1"/>
  <c r="Q1206" i="2" s="1"/>
  <c r="I1205" i="2"/>
  <c r="P1205" i="2" s="1"/>
  <c r="Q1205" i="2" s="1"/>
  <c r="I1204" i="2"/>
  <c r="P1204" i="2" s="1"/>
  <c r="I1203" i="2"/>
  <c r="P1203" i="2" s="1"/>
  <c r="Q1203" i="2" s="1"/>
  <c r="I1186" i="2"/>
  <c r="I1184" i="2"/>
  <c r="P1184" i="2" s="1"/>
  <c r="I1180" i="2"/>
  <c r="P1180" i="2" s="1"/>
  <c r="Q1191" i="2" s="1"/>
  <c r="I1179" i="2"/>
  <c r="I1175" i="2"/>
  <c r="P1175" i="2" s="1"/>
  <c r="Q1175" i="2" s="1"/>
  <c r="I1174" i="2"/>
  <c r="P1174" i="2" s="1"/>
  <c r="Q1174" i="2" s="1"/>
  <c r="I1173" i="2"/>
  <c r="P1173" i="2" s="1"/>
  <c r="Q1173" i="2" s="1"/>
  <c r="I1172" i="2"/>
  <c r="P1172" i="2" s="1"/>
  <c r="Q1172" i="2" s="1"/>
  <c r="I1171" i="2"/>
  <c r="P1171" i="2" s="1"/>
  <c r="Q1171" i="2" s="1"/>
  <c r="I1169" i="2"/>
  <c r="P1169" i="2" s="1"/>
  <c r="Q1169" i="2" s="1"/>
  <c r="I1168" i="2"/>
  <c r="P1168" i="2" s="1"/>
  <c r="Q1168" i="2" s="1"/>
  <c r="I1167" i="2"/>
  <c r="P1167" i="2" s="1"/>
  <c r="Q1167" i="2" s="1"/>
  <c r="I1166" i="2"/>
  <c r="P1166" i="2" s="1"/>
  <c r="Q1166" i="2" s="1"/>
  <c r="I1165" i="2"/>
  <c r="P1165" i="2" s="1"/>
  <c r="I1164" i="2"/>
  <c r="P1164" i="2" s="1"/>
  <c r="I1163" i="2"/>
  <c r="P1163" i="2" s="1"/>
  <c r="Q1163" i="2" s="1"/>
  <c r="I1162" i="2"/>
  <c r="P1162" i="2" s="1"/>
  <c r="I1161" i="2"/>
  <c r="P1161" i="2" s="1"/>
  <c r="I1144" i="2"/>
  <c r="I1142" i="2"/>
  <c r="P1142" i="2" s="1"/>
  <c r="I1138" i="2"/>
  <c r="P1138" i="2" s="1"/>
  <c r="I1137" i="2"/>
  <c r="I1133" i="2"/>
  <c r="P1133" i="2" s="1"/>
  <c r="Q1133" i="2" s="1"/>
  <c r="I1132" i="2"/>
  <c r="P1132" i="2" s="1"/>
  <c r="Q1132" i="2" s="1"/>
  <c r="I1131" i="2"/>
  <c r="P1131" i="2" s="1"/>
  <c r="Q1131" i="2" s="1"/>
  <c r="I1130" i="2"/>
  <c r="P1130" i="2" s="1"/>
  <c r="Q1130" i="2" s="1"/>
  <c r="I1129" i="2"/>
  <c r="P1129" i="2" s="1"/>
  <c r="I1127" i="2"/>
  <c r="P1127" i="2" s="1"/>
  <c r="Q1127" i="2" s="1"/>
  <c r="I1126" i="2"/>
  <c r="P1126" i="2" s="1"/>
  <c r="Q1126" i="2" s="1"/>
  <c r="I1125" i="2"/>
  <c r="P1125" i="2" s="1"/>
  <c r="Q1125" i="2" s="1"/>
  <c r="I1124" i="2"/>
  <c r="P1124" i="2" s="1"/>
  <c r="Q1124" i="2" s="1"/>
  <c r="I1123" i="2"/>
  <c r="P1123" i="2" s="1"/>
  <c r="Q1123" i="2" s="1"/>
  <c r="I1122" i="2"/>
  <c r="P1122" i="2" s="1"/>
  <c r="Q1122" i="2" s="1"/>
  <c r="I1121" i="2"/>
  <c r="P1121" i="2" s="1"/>
  <c r="Q1121" i="2" s="1"/>
  <c r="I1120" i="2"/>
  <c r="P1120" i="2" s="1"/>
  <c r="I1119" i="2"/>
  <c r="P1119" i="2" s="1"/>
  <c r="Q1119" i="2" s="1"/>
  <c r="I1102" i="2"/>
  <c r="I1100" i="2"/>
  <c r="P1100" i="2" s="1"/>
  <c r="I1096" i="2"/>
  <c r="P1096" i="2" s="1"/>
  <c r="I1095" i="2"/>
  <c r="I1091" i="2"/>
  <c r="P1091" i="2" s="1"/>
  <c r="Q1091" i="2" s="1"/>
  <c r="I1090" i="2"/>
  <c r="P1090" i="2" s="1"/>
  <c r="Q1090" i="2" s="1"/>
  <c r="I1089" i="2"/>
  <c r="P1089" i="2" s="1"/>
  <c r="Q1089" i="2" s="1"/>
  <c r="I1088" i="2"/>
  <c r="P1088" i="2" s="1"/>
  <c r="Q1088" i="2" s="1"/>
  <c r="I1087" i="2"/>
  <c r="P1087" i="2" s="1"/>
  <c r="Q1087" i="2" s="1"/>
  <c r="I1085" i="2"/>
  <c r="P1085" i="2" s="1"/>
  <c r="Q1085" i="2" s="1"/>
  <c r="I1084" i="2"/>
  <c r="P1084" i="2" s="1"/>
  <c r="Q1084" i="2" s="1"/>
  <c r="I1083" i="2"/>
  <c r="P1083" i="2" s="1"/>
  <c r="Q1083" i="2" s="1"/>
  <c r="I1082" i="2"/>
  <c r="P1082" i="2" s="1"/>
  <c r="I1081" i="2"/>
  <c r="P1081" i="2" s="1"/>
  <c r="Q1081" i="2" s="1"/>
  <c r="I1080" i="2"/>
  <c r="P1080" i="2" s="1"/>
  <c r="Q1080" i="2" s="1"/>
  <c r="I1079" i="2"/>
  <c r="P1079" i="2" s="1"/>
  <c r="Q1079" i="2" s="1"/>
  <c r="I1078" i="2"/>
  <c r="P1078" i="2" s="1"/>
  <c r="I1077" i="2"/>
  <c r="P1077" i="2" s="1"/>
  <c r="I1060" i="2"/>
  <c r="I1058" i="2"/>
  <c r="P1058" i="2" s="1"/>
  <c r="I1054" i="2"/>
  <c r="P1054" i="2" s="1"/>
  <c r="Q1067" i="2" s="1"/>
  <c r="I1053" i="2"/>
  <c r="I1049" i="2"/>
  <c r="P1049" i="2" s="1"/>
  <c r="Q1049" i="2" s="1"/>
  <c r="I1048" i="2"/>
  <c r="P1048" i="2" s="1"/>
  <c r="Q1048" i="2" s="1"/>
  <c r="I1047" i="2"/>
  <c r="P1047" i="2" s="1"/>
  <c r="Q1047" i="2" s="1"/>
  <c r="I1046" i="2"/>
  <c r="P1046" i="2" s="1"/>
  <c r="Q1046" i="2" s="1"/>
  <c r="I1045" i="2"/>
  <c r="P1045" i="2" s="1"/>
  <c r="I1043" i="2"/>
  <c r="P1043" i="2" s="1"/>
  <c r="Q1043" i="2" s="1"/>
  <c r="I1042" i="2"/>
  <c r="P1042" i="2" s="1"/>
  <c r="Q1042" i="2" s="1"/>
  <c r="I1041" i="2"/>
  <c r="P1041" i="2" s="1"/>
  <c r="I1040" i="2"/>
  <c r="P1040" i="2" s="1"/>
  <c r="Q1040" i="2" s="1"/>
  <c r="I1039" i="2"/>
  <c r="P1039" i="2" s="1"/>
  <c r="Q1039" i="2" s="1"/>
  <c r="I1038" i="2"/>
  <c r="P1038" i="2" s="1"/>
  <c r="I1037" i="2"/>
  <c r="P1037" i="2" s="1"/>
  <c r="Q1037" i="2" s="1"/>
  <c r="I1036" i="2"/>
  <c r="P1036" i="2" s="1"/>
  <c r="I1035" i="2"/>
  <c r="P1035" i="2" s="1"/>
  <c r="I1018" i="2"/>
  <c r="I1016" i="2"/>
  <c r="P1016" i="2" s="1"/>
  <c r="I1012" i="2"/>
  <c r="P1012" i="2" s="1"/>
  <c r="Q1028" i="2" s="1"/>
  <c r="I1011" i="2"/>
  <c r="I1007" i="2"/>
  <c r="P1007" i="2" s="1"/>
  <c r="Q1007" i="2" s="1"/>
  <c r="I1006" i="2"/>
  <c r="P1006" i="2" s="1"/>
  <c r="Q1006" i="2" s="1"/>
  <c r="I1005" i="2"/>
  <c r="P1005" i="2" s="1"/>
  <c r="Q1005" i="2" s="1"/>
  <c r="I1004" i="2"/>
  <c r="P1004" i="2" s="1"/>
  <c r="Q1004" i="2" s="1"/>
  <c r="I1003" i="2"/>
  <c r="P1003" i="2" s="1"/>
  <c r="Q1003" i="2" s="1"/>
  <c r="I1001" i="2"/>
  <c r="P1001" i="2" s="1"/>
  <c r="Q1001" i="2" s="1"/>
  <c r="I1000" i="2"/>
  <c r="P1000" i="2" s="1"/>
  <c r="Q1000" i="2" s="1"/>
  <c r="I999" i="2"/>
  <c r="P999" i="2" s="1"/>
  <c r="I998" i="2"/>
  <c r="P998" i="2" s="1"/>
  <c r="I997" i="2"/>
  <c r="P997" i="2" s="1"/>
  <c r="Q997" i="2" s="1"/>
  <c r="I996" i="2"/>
  <c r="P996" i="2" s="1"/>
  <c r="I995" i="2"/>
  <c r="P995" i="2" s="1"/>
  <c r="Q995" i="2" s="1"/>
  <c r="I994" i="2"/>
  <c r="P994" i="2" s="1"/>
  <c r="I993" i="2"/>
  <c r="P993" i="2" s="1"/>
  <c r="Q993" i="2" s="1"/>
  <c r="I976" i="2"/>
  <c r="I974" i="2"/>
  <c r="P974" i="2" s="1"/>
  <c r="I970" i="2"/>
  <c r="P970" i="2" s="1"/>
  <c r="Q981" i="2" s="1"/>
  <c r="I969" i="2"/>
  <c r="I293" i="2"/>
  <c r="P293" i="2" s="1"/>
  <c r="Q293" i="2" s="1"/>
  <c r="I292" i="2"/>
  <c r="P292" i="2" s="1"/>
  <c r="Q292" i="2" s="1"/>
  <c r="I291" i="2"/>
  <c r="P291" i="2" s="1"/>
  <c r="Q291" i="2" s="1"/>
  <c r="I290" i="2"/>
  <c r="P290" i="2" s="1"/>
  <c r="Q290" i="2" s="1"/>
  <c r="I289" i="2"/>
  <c r="P289" i="2" s="1"/>
  <c r="Q289" i="2" s="1"/>
  <c r="I287" i="2"/>
  <c r="P287" i="2" s="1"/>
  <c r="Q287" i="2" s="1"/>
  <c r="I286" i="2"/>
  <c r="P286" i="2" s="1"/>
  <c r="Q286" i="2" s="1"/>
  <c r="I285" i="2"/>
  <c r="P285" i="2" s="1"/>
  <c r="Q285" i="2" s="1"/>
  <c r="I284" i="2"/>
  <c r="P284" i="2" s="1"/>
  <c r="Q284" i="2" s="1"/>
  <c r="I283" i="2"/>
  <c r="P283" i="2" s="1"/>
  <c r="Q283" i="2" s="1"/>
  <c r="I282" i="2"/>
  <c r="P282" i="2" s="1"/>
  <c r="Q282" i="2" s="1"/>
  <c r="I281" i="2"/>
  <c r="P281" i="2" s="1"/>
  <c r="Q281" i="2" s="1"/>
  <c r="I280" i="2"/>
  <c r="P280" i="2" s="1"/>
  <c r="Q280" i="2" s="1"/>
  <c r="I279" i="2"/>
  <c r="P279" i="2" s="1"/>
  <c r="Q279" i="2" s="1"/>
  <c r="I262" i="2"/>
  <c r="I260" i="2"/>
  <c r="P260" i="2" s="1"/>
  <c r="I256" i="2"/>
  <c r="P256" i="2" s="1"/>
  <c r="I255" i="2"/>
  <c r="I965" i="2"/>
  <c r="P965" i="2" s="1"/>
  <c r="Q965" i="2" s="1"/>
  <c r="I964" i="2"/>
  <c r="P964" i="2" s="1"/>
  <c r="Q964" i="2" s="1"/>
  <c r="I963" i="2"/>
  <c r="P963" i="2" s="1"/>
  <c r="Q963" i="2" s="1"/>
  <c r="I962" i="2"/>
  <c r="P962" i="2" s="1"/>
  <c r="Q962" i="2" s="1"/>
  <c r="I961" i="2"/>
  <c r="P961" i="2" s="1"/>
  <c r="I959" i="2"/>
  <c r="P959" i="2" s="1"/>
  <c r="Q959" i="2" s="1"/>
  <c r="I958" i="2"/>
  <c r="P958" i="2" s="1"/>
  <c r="Q958" i="2" s="1"/>
  <c r="I957" i="2"/>
  <c r="P957" i="2" s="1"/>
  <c r="Q957" i="2" s="1"/>
  <c r="I956" i="2"/>
  <c r="P956" i="2" s="1"/>
  <c r="Q956" i="2" s="1"/>
  <c r="I955" i="2"/>
  <c r="P955" i="2" s="1"/>
  <c r="Q955" i="2" s="1"/>
  <c r="I954" i="2"/>
  <c r="P954" i="2" s="1"/>
  <c r="Q954" i="2" s="1"/>
  <c r="I953" i="2"/>
  <c r="P953" i="2" s="1"/>
  <c r="Q953" i="2" s="1"/>
  <c r="I952" i="2"/>
  <c r="P952" i="2" s="1"/>
  <c r="I951" i="2"/>
  <c r="P951" i="2" s="1"/>
  <c r="Q951" i="2" s="1"/>
  <c r="I934" i="2"/>
  <c r="I932" i="2"/>
  <c r="P932" i="2" s="1"/>
  <c r="I928" i="2"/>
  <c r="P928" i="2" s="1"/>
  <c r="I927" i="2"/>
  <c r="I923" i="2"/>
  <c r="P923" i="2" s="1"/>
  <c r="Q923" i="2" s="1"/>
  <c r="I922" i="2"/>
  <c r="P922" i="2" s="1"/>
  <c r="Q922" i="2" s="1"/>
  <c r="I921" i="2"/>
  <c r="P921" i="2" s="1"/>
  <c r="Q921" i="2" s="1"/>
  <c r="I920" i="2"/>
  <c r="P920" i="2" s="1"/>
  <c r="Q920" i="2" s="1"/>
  <c r="I919" i="2"/>
  <c r="P919" i="2" s="1"/>
  <c r="Q919" i="2" s="1"/>
  <c r="I917" i="2"/>
  <c r="P917" i="2" s="1"/>
  <c r="Q917" i="2" s="1"/>
  <c r="I916" i="2"/>
  <c r="P916" i="2" s="1"/>
  <c r="Q916" i="2" s="1"/>
  <c r="I915" i="2"/>
  <c r="P915" i="2" s="1"/>
  <c r="I914" i="2"/>
  <c r="P914" i="2" s="1"/>
  <c r="I913" i="2"/>
  <c r="P913" i="2" s="1"/>
  <c r="Q913" i="2" s="1"/>
  <c r="I912" i="2"/>
  <c r="P912" i="2" s="1"/>
  <c r="Q912" i="2" s="1"/>
  <c r="I911" i="2"/>
  <c r="P911" i="2" s="1"/>
  <c r="Q911" i="2" s="1"/>
  <c r="I910" i="2"/>
  <c r="P910" i="2" s="1"/>
  <c r="Q910" i="2" s="1"/>
  <c r="I909" i="2"/>
  <c r="P909" i="2" s="1"/>
  <c r="Q909" i="2" s="1"/>
  <c r="I892" i="2"/>
  <c r="I890" i="2"/>
  <c r="P890" i="2" s="1"/>
  <c r="I886" i="2"/>
  <c r="P886" i="2" s="1"/>
  <c r="Q905" i="2" s="1"/>
  <c r="I885" i="2"/>
  <c r="I881" i="2"/>
  <c r="P881" i="2" s="1"/>
  <c r="Q881" i="2" s="1"/>
  <c r="I880" i="2"/>
  <c r="P880" i="2" s="1"/>
  <c r="Q880" i="2" s="1"/>
  <c r="I879" i="2"/>
  <c r="P879" i="2" s="1"/>
  <c r="Q879" i="2" s="1"/>
  <c r="I878" i="2"/>
  <c r="P878" i="2" s="1"/>
  <c r="Q878" i="2" s="1"/>
  <c r="I877" i="2"/>
  <c r="P877" i="2" s="1"/>
  <c r="Q877" i="2" s="1"/>
  <c r="I875" i="2"/>
  <c r="P875" i="2" s="1"/>
  <c r="Q875" i="2" s="1"/>
  <c r="I874" i="2"/>
  <c r="P874" i="2" s="1"/>
  <c r="Q874" i="2" s="1"/>
  <c r="I873" i="2"/>
  <c r="P873" i="2" s="1"/>
  <c r="Q873" i="2" s="1"/>
  <c r="I872" i="2"/>
  <c r="P872" i="2" s="1"/>
  <c r="I871" i="2"/>
  <c r="P871" i="2" s="1"/>
  <c r="Q871" i="2" s="1"/>
  <c r="I870" i="2"/>
  <c r="P870" i="2" s="1"/>
  <c r="Q870" i="2" s="1"/>
  <c r="I869" i="2"/>
  <c r="P869" i="2" s="1"/>
  <c r="Q869" i="2" s="1"/>
  <c r="I868" i="2"/>
  <c r="P868" i="2" s="1"/>
  <c r="I867" i="2"/>
  <c r="P867" i="2" s="1"/>
  <c r="Q867" i="2" s="1"/>
  <c r="I850" i="2"/>
  <c r="I848" i="2"/>
  <c r="P848" i="2" s="1"/>
  <c r="I844" i="2"/>
  <c r="P844" i="2" s="1"/>
  <c r="I843" i="2"/>
  <c r="I839" i="2"/>
  <c r="P839" i="2" s="1"/>
  <c r="Q839" i="2" s="1"/>
  <c r="I838" i="2"/>
  <c r="P838" i="2" s="1"/>
  <c r="I837" i="2"/>
  <c r="P837" i="2" s="1"/>
  <c r="Q837" i="2" s="1"/>
  <c r="I836" i="2"/>
  <c r="P836" i="2" s="1"/>
  <c r="Q836" i="2" s="1"/>
  <c r="I835" i="2"/>
  <c r="P835" i="2" s="1"/>
  <c r="Q835" i="2" s="1"/>
  <c r="I833" i="2"/>
  <c r="P833" i="2" s="1"/>
  <c r="Q833" i="2" s="1"/>
  <c r="I832" i="2"/>
  <c r="P832" i="2" s="1"/>
  <c r="Q832" i="2" s="1"/>
  <c r="I831" i="2"/>
  <c r="P831" i="2" s="1"/>
  <c r="Q831" i="2" s="1"/>
  <c r="I830" i="2"/>
  <c r="P830" i="2" s="1"/>
  <c r="Q830" i="2" s="1"/>
  <c r="I829" i="2"/>
  <c r="P829" i="2" s="1"/>
  <c r="I828" i="2"/>
  <c r="P828" i="2" s="1"/>
  <c r="I827" i="2"/>
  <c r="P827" i="2" s="1"/>
  <c r="Q827" i="2" s="1"/>
  <c r="I826" i="2"/>
  <c r="P826" i="2" s="1"/>
  <c r="I825" i="2"/>
  <c r="P825" i="2" s="1"/>
  <c r="Q825" i="2" s="1"/>
  <c r="I808" i="2"/>
  <c r="I806" i="2"/>
  <c r="P806" i="2" s="1"/>
  <c r="I802" i="2"/>
  <c r="P802" i="2" s="1"/>
  <c r="Q813" i="2" s="1"/>
  <c r="I801" i="2"/>
  <c r="I797" i="2"/>
  <c r="P797" i="2" s="1"/>
  <c r="Q797" i="2" s="1"/>
  <c r="I796" i="2"/>
  <c r="P796" i="2" s="1"/>
  <c r="I795" i="2"/>
  <c r="P795" i="2" s="1"/>
  <c r="Q795" i="2" s="1"/>
  <c r="I794" i="2"/>
  <c r="P794" i="2" s="1"/>
  <c r="Q794" i="2" s="1"/>
  <c r="I793" i="2"/>
  <c r="P793" i="2" s="1"/>
  <c r="Q793" i="2" s="1"/>
  <c r="I791" i="2"/>
  <c r="P791" i="2" s="1"/>
  <c r="Q791" i="2" s="1"/>
  <c r="I790" i="2"/>
  <c r="P790" i="2" s="1"/>
  <c r="Q790" i="2" s="1"/>
  <c r="I789" i="2"/>
  <c r="P789" i="2" s="1"/>
  <c r="Q789" i="2" s="1"/>
  <c r="I788" i="2"/>
  <c r="P788" i="2" s="1"/>
  <c r="Q788" i="2" s="1"/>
  <c r="I787" i="2"/>
  <c r="P787" i="2" s="1"/>
  <c r="Q787" i="2" s="1"/>
  <c r="I786" i="2"/>
  <c r="P786" i="2" s="1"/>
  <c r="I785" i="2"/>
  <c r="P785" i="2" s="1"/>
  <c r="Q785" i="2" s="1"/>
  <c r="I784" i="2"/>
  <c r="P784" i="2" s="1"/>
  <c r="I783" i="2"/>
  <c r="P783" i="2" s="1"/>
  <c r="I766" i="2"/>
  <c r="I764" i="2"/>
  <c r="P764" i="2" s="1"/>
  <c r="I760" i="2"/>
  <c r="P760" i="2" s="1"/>
  <c r="Q771" i="2" s="1"/>
  <c r="I759" i="2"/>
  <c r="I755" i="2"/>
  <c r="P755" i="2" s="1"/>
  <c r="Q755" i="2" s="1"/>
  <c r="I754" i="2"/>
  <c r="P754" i="2" s="1"/>
  <c r="Q754" i="2" s="1"/>
  <c r="I753" i="2"/>
  <c r="P753" i="2" s="1"/>
  <c r="Q753" i="2" s="1"/>
  <c r="I752" i="2"/>
  <c r="P752" i="2" s="1"/>
  <c r="Q752" i="2" s="1"/>
  <c r="I751" i="2"/>
  <c r="P751" i="2" s="1"/>
  <c r="Q751" i="2" s="1"/>
  <c r="I749" i="2"/>
  <c r="P749" i="2" s="1"/>
  <c r="Q749" i="2" s="1"/>
  <c r="I748" i="2"/>
  <c r="P748" i="2" s="1"/>
  <c r="Q748" i="2" s="1"/>
  <c r="I747" i="2"/>
  <c r="P747" i="2" s="1"/>
  <c r="Q747" i="2" s="1"/>
  <c r="I746" i="2"/>
  <c r="P746" i="2" s="1"/>
  <c r="Q746" i="2" s="1"/>
  <c r="I745" i="2"/>
  <c r="P745" i="2" s="1"/>
  <c r="I744" i="2"/>
  <c r="P744" i="2" s="1"/>
  <c r="Q744" i="2" s="1"/>
  <c r="I743" i="2"/>
  <c r="P743" i="2" s="1"/>
  <c r="Q743" i="2" s="1"/>
  <c r="I742" i="2"/>
  <c r="P742" i="2" s="1"/>
  <c r="I741" i="2"/>
  <c r="P741" i="2" s="1"/>
  <c r="Q741" i="2" s="1"/>
  <c r="I724" i="2"/>
  <c r="I722" i="2"/>
  <c r="P722" i="2" s="1"/>
  <c r="I718" i="2"/>
  <c r="P718" i="2" s="1"/>
  <c r="I717" i="2"/>
  <c r="I713" i="2"/>
  <c r="P713" i="2" s="1"/>
  <c r="Q713" i="2" s="1"/>
  <c r="I712" i="2"/>
  <c r="P712" i="2" s="1"/>
  <c r="Q712" i="2" s="1"/>
  <c r="I711" i="2"/>
  <c r="P711" i="2" s="1"/>
  <c r="Q711" i="2" s="1"/>
  <c r="I710" i="2"/>
  <c r="P710" i="2" s="1"/>
  <c r="Q710" i="2" s="1"/>
  <c r="I709" i="2"/>
  <c r="P709" i="2" s="1"/>
  <c r="I707" i="2"/>
  <c r="P707" i="2" s="1"/>
  <c r="Q707" i="2" s="1"/>
  <c r="I706" i="2"/>
  <c r="P706" i="2" s="1"/>
  <c r="Q706" i="2" s="1"/>
  <c r="I705" i="2"/>
  <c r="P705" i="2" s="1"/>
  <c r="Q705" i="2" s="1"/>
  <c r="I704" i="2"/>
  <c r="P704" i="2" s="1"/>
  <c r="Q704" i="2" s="1"/>
  <c r="I703" i="2"/>
  <c r="P703" i="2" s="1"/>
  <c r="Q703" i="2" s="1"/>
  <c r="I702" i="2"/>
  <c r="P702" i="2" s="1"/>
  <c r="Q702" i="2" s="1"/>
  <c r="I701" i="2"/>
  <c r="P701" i="2" s="1"/>
  <c r="Q701" i="2" s="1"/>
  <c r="I700" i="2"/>
  <c r="P700" i="2" s="1"/>
  <c r="I699" i="2"/>
  <c r="P699" i="2" s="1"/>
  <c r="Q699" i="2" s="1"/>
  <c r="I682" i="2"/>
  <c r="I680" i="2"/>
  <c r="P680" i="2" s="1"/>
  <c r="I676" i="2"/>
  <c r="P676" i="2" s="1"/>
  <c r="I675" i="2"/>
  <c r="I587" i="2"/>
  <c r="P587" i="2" s="1"/>
  <c r="Q587" i="2" s="1"/>
  <c r="I586" i="2"/>
  <c r="P586" i="2" s="1"/>
  <c r="Q586" i="2" s="1"/>
  <c r="I585" i="2"/>
  <c r="P585" i="2" s="1"/>
  <c r="I584" i="2"/>
  <c r="P584" i="2" s="1"/>
  <c r="Q584" i="2" s="1"/>
  <c r="I583" i="2"/>
  <c r="P583" i="2" s="1"/>
  <c r="Q583" i="2" s="1"/>
  <c r="I581" i="2"/>
  <c r="P581" i="2" s="1"/>
  <c r="Q581" i="2" s="1"/>
  <c r="I580" i="2"/>
  <c r="P580" i="2" s="1"/>
  <c r="Q580" i="2" s="1"/>
  <c r="I579" i="2"/>
  <c r="P579" i="2" s="1"/>
  <c r="I578" i="2"/>
  <c r="P578" i="2" s="1"/>
  <c r="Q578" i="2" s="1"/>
  <c r="I577" i="2"/>
  <c r="P577" i="2" s="1"/>
  <c r="Q577" i="2" s="1"/>
  <c r="I576" i="2"/>
  <c r="P576" i="2" s="1"/>
  <c r="Q576" i="2" s="1"/>
  <c r="I575" i="2"/>
  <c r="P575" i="2" s="1"/>
  <c r="Q575" i="2" s="1"/>
  <c r="I574" i="2"/>
  <c r="P574" i="2" s="1"/>
  <c r="I573" i="2"/>
  <c r="P573" i="2" s="1"/>
  <c r="I556" i="2"/>
  <c r="I554" i="2"/>
  <c r="P554" i="2" s="1"/>
  <c r="I550" i="2"/>
  <c r="P550" i="2" s="1"/>
  <c r="I549" i="2"/>
  <c r="I671" i="2"/>
  <c r="P671" i="2" s="1"/>
  <c r="Q671" i="2" s="1"/>
  <c r="I670" i="2"/>
  <c r="P670" i="2" s="1"/>
  <c r="Q670" i="2" s="1"/>
  <c r="I669" i="2"/>
  <c r="P669" i="2" s="1"/>
  <c r="Q669" i="2" s="1"/>
  <c r="I668" i="2"/>
  <c r="P668" i="2" s="1"/>
  <c r="Q668" i="2" s="1"/>
  <c r="I667" i="2"/>
  <c r="P667" i="2" s="1"/>
  <c r="Q667" i="2" s="1"/>
  <c r="I665" i="2"/>
  <c r="P665" i="2" s="1"/>
  <c r="Q665" i="2" s="1"/>
  <c r="I664" i="2"/>
  <c r="P664" i="2" s="1"/>
  <c r="Q664" i="2" s="1"/>
  <c r="I663" i="2"/>
  <c r="P663" i="2" s="1"/>
  <c r="Q663" i="2" s="1"/>
  <c r="I662" i="2"/>
  <c r="P662" i="2" s="1"/>
  <c r="Q662" i="2" s="1"/>
  <c r="I661" i="2"/>
  <c r="P661" i="2" s="1"/>
  <c r="Q661" i="2" s="1"/>
  <c r="I660" i="2"/>
  <c r="P660" i="2" s="1"/>
  <c r="Q660" i="2" s="1"/>
  <c r="I659" i="2"/>
  <c r="P659" i="2" s="1"/>
  <c r="Q659" i="2" s="1"/>
  <c r="I658" i="2"/>
  <c r="P658" i="2" s="1"/>
  <c r="I657" i="2"/>
  <c r="P657" i="2" s="1"/>
  <c r="Q657" i="2" s="1"/>
  <c r="I640" i="2"/>
  <c r="I638" i="2"/>
  <c r="P638" i="2" s="1"/>
  <c r="I634" i="2"/>
  <c r="P634" i="2" s="1"/>
  <c r="I633" i="2"/>
  <c r="I629" i="2"/>
  <c r="P629" i="2" s="1"/>
  <c r="Q629" i="2" s="1"/>
  <c r="I628" i="2"/>
  <c r="P628" i="2" s="1"/>
  <c r="Q628" i="2" s="1"/>
  <c r="I627" i="2"/>
  <c r="P627" i="2" s="1"/>
  <c r="Q627" i="2" s="1"/>
  <c r="I626" i="2"/>
  <c r="P626" i="2" s="1"/>
  <c r="Q626" i="2" s="1"/>
  <c r="I625" i="2"/>
  <c r="P625" i="2" s="1"/>
  <c r="Q625" i="2" s="1"/>
  <c r="I623" i="2"/>
  <c r="P623" i="2" s="1"/>
  <c r="Q623" i="2" s="1"/>
  <c r="I622" i="2"/>
  <c r="P622" i="2" s="1"/>
  <c r="Q622" i="2" s="1"/>
  <c r="I621" i="2"/>
  <c r="P621" i="2" s="1"/>
  <c r="Q621" i="2" s="1"/>
  <c r="I620" i="2"/>
  <c r="P620" i="2" s="1"/>
  <c r="Q620" i="2" s="1"/>
  <c r="I619" i="2"/>
  <c r="P619" i="2" s="1"/>
  <c r="Q619" i="2" s="1"/>
  <c r="I618" i="2"/>
  <c r="P618" i="2" s="1"/>
  <c r="Q618" i="2" s="1"/>
  <c r="I617" i="2"/>
  <c r="P617" i="2" s="1"/>
  <c r="Q617" i="2" s="1"/>
  <c r="I616" i="2"/>
  <c r="P616" i="2" s="1"/>
  <c r="Q616" i="2" s="1"/>
  <c r="I615" i="2"/>
  <c r="P615" i="2" s="1"/>
  <c r="Q615" i="2" s="1"/>
  <c r="I598" i="2"/>
  <c r="I596" i="2"/>
  <c r="P596" i="2" s="1"/>
  <c r="I592" i="2"/>
  <c r="P592" i="2" s="1"/>
  <c r="Q603" i="2" s="1"/>
  <c r="I591" i="2"/>
  <c r="I545" i="2"/>
  <c r="P545" i="2" s="1"/>
  <c r="Q545" i="2" s="1"/>
  <c r="I544" i="2"/>
  <c r="P544" i="2" s="1"/>
  <c r="Q544" i="2" s="1"/>
  <c r="I543" i="2"/>
  <c r="P543" i="2" s="1"/>
  <c r="Q543" i="2" s="1"/>
  <c r="I542" i="2"/>
  <c r="P542" i="2" s="1"/>
  <c r="Q542" i="2" s="1"/>
  <c r="I541" i="2"/>
  <c r="P541" i="2" s="1"/>
  <c r="Q541" i="2" s="1"/>
  <c r="I539" i="2"/>
  <c r="P539" i="2" s="1"/>
  <c r="Q539" i="2" s="1"/>
  <c r="I538" i="2"/>
  <c r="P538" i="2" s="1"/>
  <c r="I537" i="2"/>
  <c r="P537" i="2" s="1"/>
  <c r="Q537" i="2" s="1"/>
  <c r="I536" i="2"/>
  <c r="P536" i="2" s="1"/>
  <c r="Q536" i="2" s="1"/>
  <c r="I535" i="2"/>
  <c r="P535" i="2" s="1"/>
  <c r="I534" i="2"/>
  <c r="P534" i="2" s="1"/>
  <c r="I533" i="2"/>
  <c r="P533" i="2" s="1"/>
  <c r="Q533" i="2" s="1"/>
  <c r="I532" i="2"/>
  <c r="P532" i="2" s="1"/>
  <c r="I531" i="2"/>
  <c r="P531" i="2" s="1"/>
  <c r="Q531" i="2" s="1"/>
  <c r="I514" i="2"/>
  <c r="I512" i="2"/>
  <c r="P512" i="2" s="1"/>
  <c r="I508" i="2"/>
  <c r="P508" i="2" s="1"/>
  <c r="I507" i="2"/>
  <c r="I503" i="2"/>
  <c r="P503" i="2" s="1"/>
  <c r="Q503" i="2" s="1"/>
  <c r="I502" i="2"/>
  <c r="P502" i="2" s="1"/>
  <c r="I501" i="2"/>
  <c r="P501" i="2" s="1"/>
  <c r="Q501" i="2" s="1"/>
  <c r="I500" i="2"/>
  <c r="P500" i="2" s="1"/>
  <c r="Q500" i="2" s="1"/>
  <c r="I499" i="2"/>
  <c r="P499" i="2" s="1"/>
  <c r="I497" i="2"/>
  <c r="P497" i="2" s="1"/>
  <c r="Q497" i="2" s="1"/>
  <c r="I496" i="2"/>
  <c r="P496" i="2" s="1"/>
  <c r="Q496" i="2" s="1"/>
  <c r="I495" i="2"/>
  <c r="P495" i="2" s="1"/>
  <c r="I494" i="2"/>
  <c r="P494" i="2" s="1"/>
  <c r="I493" i="2"/>
  <c r="P493" i="2" s="1"/>
  <c r="Q493" i="2" s="1"/>
  <c r="I492" i="2"/>
  <c r="P492" i="2" s="1"/>
  <c r="I491" i="2"/>
  <c r="P491" i="2" s="1"/>
  <c r="Q491" i="2" s="1"/>
  <c r="I490" i="2"/>
  <c r="P490" i="2" s="1"/>
  <c r="I489" i="2"/>
  <c r="P489" i="2" s="1"/>
  <c r="I472" i="2"/>
  <c r="I470" i="2"/>
  <c r="P470" i="2" s="1"/>
  <c r="I466" i="2"/>
  <c r="P466" i="2" s="1"/>
  <c r="Q478" i="2" s="1"/>
  <c r="I465" i="2"/>
  <c r="I461" i="2"/>
  <c r="P461" i="2" s="1"/>
  <c r="Q461" i="2" s="1"/>
  <c r="I460" i="2"/>
  <c r="P460" i="2" s="1"/>
  <c r="Q460" i="2" s="1"/>
  <c r="I459" i="2"/>
  <c r="P459" i="2" s="1"/>
  <c r="Q459" i="2" s="1"/>
  <c r="I458" i="2"/>
  <c r="P458" i="2" s="1"/>
  <c r="Q458" i="2" s="1"/>
  <c r="I457" i="2"/>
  <c r="P457" i="2" s="1"/>
  <c r="Q457" i="2" s="1"/>
  <c r="I455" i="2"/>
  <c r="P455" i="2" s="1"/>
  <c r="Q455" i="2" s="1"/>
  <c r="I454" i="2"/>
  <c r="P454" i="2" s="1"/>
  <c r="Q454" i="2" s="1"/>
  <c r="I453" i="2"/>
  <c r="P453" i="2" s="1"/>
  <c r="I452" i="2"/>
  <c r="P452" i="2" s="1"/>
  <c r="I451" i="2"/>
  <c r="P451" i="2" s="1"/>
  <c r="Q451" i="2" s="1"/>
  <c r="I450" i="2"/>
  <c r="P450" i="2" s="1"/>
  <c r="Q450" i="2" s="1"/>
  <c r="I449" i="2"/>
  <c r="P449" i="2" s="1"/>
  <c r="Q449" i="2" s="1"/>
  <c r="I448" i="2"/>
  <c r="P448" i="2" s="1"/>
  <c r="I447" i="2"/>
  <c r="P447" i="2" s="1"/>
  <c r="I430" i="2"/>
  <c r="I428" i="2"/>
  <c r="P428" i="2" s="1"/>
  <c r="I424" i="2"/>
  <c r="P424" i="2" s="1"/>
  <c r="Q437" i="2" s="1"/>
  <c r="I423" i="2"/>
  <c r="I419" i="2"/>
  <c r="P419" i="2" s="1"/>
  <c r="Q419" i="2" s="1"/>
  <c r="I418" i="2"/>
  <c r="P418" i="2" s="1"/>
  <c r="Q418" i="2" s="1"/>
  <c r="I417" i="2"/>
  <c r="P417" i="2" s="1"/>
  <c r="Q417" i="2" s="1"/>
  <c r="I416" i="2"/>
  <c r="P416" i="2" s="1"/>
  <c r="Q416" i="2" s="1"/>
  <c r="I415" i="2"/>
  <c r="P415" i="2" s="1"/>
  <c r="I413" i="2"/>
  <c r="P413" i="2" s="1"/>
  <c r="Q413" i="2" s="1"/>
  <c r="I412" i="2"/>
  <c r="P412" i="2" s="1"/>
  <c r="Q412" i="2" s="1"/>
  <c r="I411" i="2"/>
  <c r="P411" i="2" s="1"/>
  <c r="Q411" i="2" s="1"/>
  <c r="I410" i="2"/>
  <c r="P410" i="2" s="1"/>
  <c r="Q410" i="2" s="1"/>
  <c r="I409" i="2"/>
  <c r="P409" i="2" s="1"/>
  <c r="Q409" i="2" s="1"/>
  <c r="I408" i="2"/>
  <c r="P408" i="2" s="1"/>
  <c r="Q408" i="2" s="1"/>
  <c r="I407" i="2"/>
  <c r="P407" i="2" s="1"/>
  <c r="Q407" i="2" s="1"/>
  <c r="I406" i="2"/>
  <c r="P406" i="2" s="1"/>
  <c r="I405" i="2"/>
  <c r="P405" i="2" s="1"/>
  <c r="Q405" i="2" s="1"/>
  <c r="I388" i="2"/>
  <c r="I386" i="2"/>
  <c r="P386" i="2" s="1"/>
  <c r="I382" i="2"/>
  <c r="P382" i="2" s="1"/>
  <c r="I381" i="2"/>
  <c r="I377" i="2"/>
  <c r="P377" i="2" s="1"/>
  <c r="Q377" i="2" s="1"/>
  <c r="I376" i="2"/>
  <c r="P376" i="2" s="1"/>
  <c r="I375" i="2"/>
  <c r="P375" i="2" s="1"/>
  <c r="Q375" i="2" s="1"/>
  <c r="I374" i="2"/>
  <c r="P374" i="2" s="1"/>
  <c r="Q374" i="2" s="1"/>
  <c r="I373" i="2"/>
  <c r="P373" i="2" s="1"/>
  <c r="Q373" i="2" s="1"/>
  <c r="I371" i="2"/>
  <c r="P371" i="2" s="1"/>
  <c r="Q371" i="2" s="1"/>
  <c r="I370" i="2"/>
  <c r="P370" i="2" s="1"/>
  <c r="I369" i="2"/>
  <c r="P369" i="2" s="1"/>
  <c r="Q369" i="2" s="1"/>
  <c r="I368" i="2"/>
  <c r="P368" i="2" s="1"/>
  <c r="Q368" i="2" s="1"/>
  <c r="I367" i="2"/>
  <c r="P367" i="2" s="1"/>
  <c r="Q367" i="2" s="1"/>
  <c r="I366" i="2"/>
  <c r="P366" i="2" s="1"/>
  <c r="Q366" i="2" s="1"/>
  <c r="I365" i="2"/>
  <c r="P365" i="2" s="1"/>
  <c r="Q365" i="2" s="1"/>
  <c r="I364" i="2"/>
  <c r="P364" i="2" s="1"/>
  <c r="I363" i="2"/>
  <c r="P363" i="2" s="1"/>
  <c r="I346" i="2"/>
  <c r="I344" i="2"/>
  <c r="P344" i="2" s="1"/>
  <c r="I340" i="2"/>
  <c r="P340" i="2" s="1"/>
  <c r="Q353" i="2" s="1"/>
  <c r="I339" i="2"/>
  <c r="I335" i="2"/>
  <c r="P335" i="2" s="1"/>
  <c r="Q335" i="2" s="1"/>
  <c r="I334" i="2"/>
  <c r="P334" i="2" s="1"/>
  <c r="Q334" i="2" s="1"/>
  <c r="I333" i="2"/>
  <c r="P333" i="2" s="1"/>
  <c r="Q333" i="2" s="1"/>
  <c r="I332" i="2"/>
  <c r="P332" i="2" s="1"/>
  <c r="Q332" i="2" s="1"/>
  <c r="I331" i="2"/>
  <c r="P331" i="2" s="1"/>
  <c r="I329" i="2"/>
  <c r="P329" i="2" s="1"/>
  <c r="Q329" i="2" s="1"/>
  <c r="I328" i="2"/>
  <c r="P328" i="2" s="1"/>
  <c r="I327" i="2"/>
  <c r="P327" i="2" s="1"/>
  <c r="I326" i="2"/>
  <c r="P326" i="2" s="1"/>
  <c r="I325" i="2"/>
  <c r="P325" i="2" s="1"/>
  <c r="Q325" i="2" s="1"/>
  <c r="I324" i="2"/>
  <c r="P324" i="2" s="1"/>
  <c r="I323" i="2"/>
  <c r="P323" i="2" s="1"/>
  <c r="Q323" i="2" s="1"/>
  <c r="I322" i="2"/>
  <c r="P322" i="2" s="1"/>
  <c r="I321" i="2"/>
  <c r="P321" i="2" s="1"/>
  <c r="Q321" i="2" s="1"/>
  <c r="I304" i="2"/>
  <c r="I302" i="2"/>
  <c r="P302" i="2" s="1"/>
  <c r="I298" i="2"/>
  <c r="P298" i="2" s="1"/>
  <c r="I297" i="2"/>
  <c r="I251" i="2"/>
  <c r="P251" i="2" s="1"/>
  <c r="Q251" i="2" s="1"/>
  <c r="I250" i="2"/>
  <c r="P250" i="2" s="1"/>
  <c r="Q250" i="2" s="1"/>
  <c r="I249" i="2"/>
  <c r="P249" i="2" s="1"/>
  <c r="Q249" i="2" s="1"/>
  <c r="I248" i="2"/>
  <c r="P248" i="2" s="1"/>
  <c r="Q248" i="2" s="1"/>
  <c r="I247" i="2"/>
  <c r="P247" i="2" s="1"/>
  <c r="Q247" i="2" s="1"/>
  <c r="I245" i="2"/>
  <c r="P245" i="2" s="1"/>
  <c r="Q245" i="2" s="1"/>
  <c r="I244" i="2"/>
  <c r="P244" i="2" s="1"/>
  <c r="I243" i="2"/>
  <c r="P243" i="2" s="1"/>
  <c r="Q243" i="2" s="1"/>
  <c r="I242" i="2"/>
  <c r="P242" i="2" s="1"/>
  <c r="I241" i="2"/>
  <c r="P241" i="2" s="1"/>
  <c r="I240" i="2"/>
  <c r="P240" i="2" s="1"/>
  <c r="I239" i="2"/>
  <c r="P239" i="2" s="1"/>
  <c r="Q239" i="2" s="1"/>
  <c r="I238" i="2"/>
  <c r="P238" i="2" s="1"/>
  <c r="I237" i="2"/>
  <c r="P237" i="2" s="1"/>
  <c r="I220" i="2"/>
  <c r="I218" i="2"/>
  <c r="P218" i="2" s="1"/>
  <c r="I214" i="2"/>
  <c r="P214" i="2" s="1"/>
  <c r="I213" i="2"/>
  <c r="I209" i="2"/>
  <c r="P209" i="2" s="1"/>
  <c r="Q209" i="2" s="1"/>
  <c r="I208" i="2"/>
  <c r="P208" i="2" s="1"/>
  <c r="Q208" i="2" s="1"/>
  <c r="I207" i="2"/>
  <c r="P207" i="2" s="1"/>
  <c r="Q207" i="2" s="1"/>
  <c r="I206" i="2"/>
  <c r="P206" i="2" s="1"/>
  <c r="Q206" i="2" s="1"/>
  <c r="I205" i="2"/>
  <c r="P205" i="2" s="1"/>
  <c r="Q205" i="2" s="1"/>
  <c r="I203" i="2"/>
  <c r="P203" i="2" s="1"/>
  <c r="Q203" i="2" s="1"/>
  <c r="I202" i="2"/>
  <c r="P202" i="2" s="1"/>
  <c r="Q202" i="2" s="1"/>
  <c r="I201" i="2"/>
  <c r="P201" i="2" s="1"/>
  <c r="I200" i="2"/>
  <c r="P200" i="2" s="1"/>
  <c r="Q200" i="2" s="1"/>
  <c r="I199" i="2"/>
  <c r="P199" i="2" s="1"/>
  <c r="Q199" i="2" s="1"/>
  <c r="I198" i="2"/>
  <c r="P198" i="2" s="1"/>
  <c r="Q198" i="2" s="1"/>
  <c r="I197" i="2"/>
  <c r="P197" i="2" s="1"/>
  <c r="Q197" i="2" s="1"/>
  <c r="I196" i="2"/>
  <c r="P196" i="2" s="1"/>
  <c r="Q196" i="2" s="1"/>
  <c r="I195" i="2"/>
  <c r="P195" i="2" s="1"/>
  <c r="Q195" i="2" s="1"/>
  <c r="I178" i="2"/>
  <c r="I176" i="2"/>
  <c r="P176" i="2" s="1"/>
  <c r="I172" i="2"/>
  <c r="P172" i="2" s="1"/>
  <c r="Q183" i="2" s="1"/>
  <c r="I171" i="2"/>
  <c r="I167" i="2"/>
  <c r="P167" i="2" s="1"/>
  <c r="I166" i="2"/>
  <c r="P166" i="2" s="1"/>
  <c r="I165" i="2"/>
  <c r="P165" i="2" s="1"/>
  <c r="Q165" i="2" s="1"/>
  <c r="I164" i="2"/>
  <c r="P164" i="2" s="1"/>
  <c r="I163" i="2"/>
  <c r="P163" i="2" s="1"/>
  <c r="Q163" i="2" s="1"/>
  <c r="I161" i="2"/>
  <c r="P161" i="2" s="1"/>
  <c r="Q161" i="2" s="1"/>
  <c r="I160" i="2"/>
  <c r="P160" i="2" s="1"/>
  <c r="Q160" i="2" s="1"/>
  <c r="I159" i="2"/>
  <c r="P159" i="2" s="1"/>
  <c r="Q159" i="2" s="1"/>
  <c r="I158" i="2"/>
  <c r="P158" i="2" s="1"/>
  <c r="Q158" i="2" s="1"/>
  <c r="I157" i="2"/>
  <c r="P157" i="2" s="1"/>
  <c r="Q157" i="2" s="1"/>
  <c r="I156" i="2"/>
  <c r="P156" i="2" s="1"/>
  <c r="I155" i="2"/>
  <c r="P155" i="2" s="1"/>
  <c r="Q155" i="2" s="1"/>
  <c r="I154" i="2"/>
  <c r="P154" i="2" s="1"/>
  <c r="I153" i="2"/>
  <c r="P153" i="2" s="1"/>
  <c r="Q153" i="2" s="1"/>
  <c r="I136" i="2"/>
  <c r="I134" i="2"/>
  <c r="P134" i="2" s="1"/>
  <c r="I130" i="2"/>
  <c r="P130" i="2" s="1"/>
  <c r="I129" i="2"/>
  <c r="I41" i="2"/>
  <c r="P41" i="2" s="1"/>
  <c r="Q41" i="2" s="1"/>
  <c r="I40" i="2"/>
  <c r="P40" i="2" s="1"/>
  <c r="Q40" i="2" s="1"/>
  <c r="I39" i="2"/>
  <c r="P39" i="2" s="1"/>
  <c r="Q39" i="2" s="1"/>
  <c r="I38" i="2"/>
  <c r="P38" i="2" s="1"/>
  <c r="Q38" i="2" s="1"/>
  <c r="I37" i="2"/>
  <c r="P37" i="2" s="1"/>
  <c r="Q37" i="2" s="1"/>
  <c r="I35" i="2"/>
  <c r="P35" i="2" s="1"/>
  <c r="Q35" i="2" s="1"/>
  <c r="I34" i="2"/>
  <c r="P34" i="2" s="1"/>
  <c r="Q34" i="2" s="1"/>
  <c r="I33" i="2"/>
  <c r="P33" i="2" s="1"/>
  <c r="I32" i="2"/>
  <c r="P32" i="2" s="1"/>
  <c r="I31" i="2"/>
  <c r="P31" i="2" s="1"/>
  <c r="Q31" i="2" s="1"/>
  <c r="I30" i="2"/>
  <c r="P30" i="2" s="1"/>
  <c r="Q30" i="2" s="1"/>
  <c r="I29" i="2"/>
  <c r="P29" i="2" s="1"/>
  <c r="Q29" i="2" s="1"/>
  <c r="I28" i="2"/>
  <c r="P28" i="2" s="1"/>
  <c r="Q28" i="2" s="1"/>
  <c r="I27" i="2"/>
  <c r="P27" i="2" s="1"/>
  <c r="Q27" i="2" s="1"/>
  <c r="I10" i="2"/>
  <c r="I8" i="2"/>
  <c r="P8" i="2" s="1"/>
  <c r="I4" i="2"/>
  <c r="P4" i="2" s="1"/>
  <c r="Q16" i="2" s="1"/>
  <c r="I3" i="2"/>
  <c r="I125" i="2"/>
  <c r="P125" i="2" s="1"/>
  <c r="I124" i="2"/>
  <c r="P124" i="2" s="1"/>
  <c r="I123" i="2"/>
  <c r="P123" i="2" s="1"/>
  <c r="I122" i="2"/>
  <c r="P122" i="2" s="1"/>
  <c r="I121" i="2"/>
  <c r="P121" i="2" s="1"/>
  <c r="I119" i="2"/>
  <c r="P119" i="2" s="1"/>
  <c r="Q119" i="2" s="1"/>
  <c r="I118" i="2"/>
  <c r="P118" i="2" s="1"/>
  <c r="Q118" i="2" s="1"/>
  <c r="I117" i="2"/>
  <c r="P117" i="2" s="1"/>
  <c r="Q117" i="2" s="1"/>
  <c r="I116" i="2"/>
  <c r="P116" i="2" s="1"/>
  <c r="Q116" i="2" s="1"/>
  <c r="I115" i="2"/>
  <c r="P115" i="2" s="1"/>
  <c r="Q115" i="2" s="1"/>
  <c r="I114" i="2"/>
  <c r="P114" i="2" s="1"/>
  <c r="Q114" i="2" s="1"/>
  <c r="I113" i="2"/>
  <c r="P113" i="2" s="1"/>
  <c r="Q113" i="2" s="1"/>
  <c r="I112" i="2"/>
  <c r="P112" i="2" s="1"/>
  <c r="Q112" i="2" s="1"/>
  <c r="I111" i="2"/>
  <c r="P111" i="2" s="1"/>
  <c r="I94" i="2"/>
  <c r="I88" i="2"/>
  <c r="P88" i="2" s="1"/>
  <c r="I87" i="2"/>
  <c r="I83" i="2"/>
  <c r="P83" i="2" s="1"/>
  <c r="I82" i="2"/>
  <c r="P82" i="2" s="1"/>
  <c r="I81" i="2"/>
  <c r="P81" i="2" s="1"/>
  <c r="I80" i="2"/>
  <c r="P80" i="2" s="1"/>
  <c r="I79" i="2"/>
  <c r="P79" i="2" s="1"/>
  <c r="I77" i="2"/>
  <c r="P77" i="2" s="1"/>
  <c r="Q77" i="2" s="1"/>
  <c r="I76" i="2"/>
  <c r="P76" i="2" s="1"/>
  <c r="Q76" i="2" s="1"/>
  <c r="I75" i="2"/>
  <c r="P75" i="2" s="1"/>
  <c r="Q75" i="2" s="1"/>
  <c r="I74" i="2"/>
  <c r="P74" i="2" s="1"/>
  <c r="Q74" i="2" s="1"/>
  <c r="I73" i="2"/>
  <c r="P73" i="2" s="1"/>
  <c r="Q73" i="2" s="1"/>
  <c r="I72" i="2"/>
  <c r="P72" i="2" s="1"/>
  <c r="Q72" i="2" s="1"/>
  <c r="I71" i="2"/>
  <c r="P71" i="2" s="1"/>
  <c r="Q71" i="2" s="1"/>
  <c r="I70" i="2"/>
  <c r="P70" i="2" s="1"/>
  <c r="Q70" i="2" s="1"/>
  <c r="I45" i="2"/>
  <c r="Q689" i="2" l="1"/>
  <c r="Q687" i="2"/>
  <c r="Q563" i="2"/>
  <c r="Q558" i="2"/>
  <c r="Q143" i="2"/>
  <c r="Q149" i="2"/>
  <c r="Q1066" i="2"/>
  <c r="Q1065" i="2"/>
  <c r="Q230" i="2"/>
  <c r="Q222" i="2"/>
  <c r="Q233" i="2"/>
  <c r="Q1235" i="2"/>
  <c r="Q1230" i="2"/>
  <c r="Q520" i="2"/>
  <c r="Q524" i="2"/>
  <c r="Q855" i="2"/>
  <c r="Q856" i="2"/>
  <c r="Q734" i="2"/>
  <c r="Q729" i="2"/>
  <c r="P1352" i="2"/>
  <c r="P1371" i="2"/>
  <c r="Q1371" i="2" s="1"/>
  <c r="I1415" i="2"/>
  <c r="P1415" i="2" s="1"/>
  <c r="P1379" i="2"/>
  <c r="Q1379" i="2" s="1"/>
  <c r="I1423" i="2"/>
  <c r="P1423" i="2" s="1"/>
  <c r="Q1423" i="2" s="1"/>
  <c r="P94" i="2"/>
  <c r="P95" i="2" s="1"/>
  <c r="I95" i="2"/>
  <c r="I137" i="2"/>
  <c r="P136" i="2"/>
  <c r="P137" i="2" s="1"/>
  <c r="I221" i="2"/>
  <c r="P220" i="2"/>
  <c r="P221" i="2" s="1"/>
  <c r="I641" i="2"/>
  <c r="P640" i="2"/>
  <c r="P641" i="2" s="1"/>
  <c r="I725" i="2"/>
  <c r="P724" i="2"/>
  <c r="P725" i="2" s="1"/>
  <c r="I767" i="2"/>
  <c r="P766" i="2"/>
  <c r="P767" i="2" s="1"/>
  <c r="I809" i="2"/>
  <c r="P808" i="2"/>
  <c r="P809" i="2" s="1"/>
  <c r="P850" i="2"/>
  <c r="P851" i="2" s="1"/>
  <c r="I851" i="2"/>
  <c r="I893" i="2"/>
  <c r="P892" i="2"/>
  <c r="P893" i="2" s="1"/>
  <c r="P934" i="2"/>
  <c r="P935" i="2" s="1"/>
  <c r="I935" i="2"/>
  <c r="I263" i="2"/>
  <c r="P262" i="2"/>
  <c r="P263" i="2" s="1"/>
  <c r="P976" i="2"/>
  <c r="P977" i="2" s="1"/>
  <c r="I977" i="2"/>
  <c r="I1019" i="2"/>
  <c r="P1018" i="2"/>
  <c r="P1019" i="2" s="1"/>
  <c r="I1061" i="2"/>
  <c r="P1060" i="2"/>
  <c r="P1061" i="2" s="1"/>
  <c r="I1103" i="2"/>
  <c r="P1102" i="2"/>
  <c r="P1103" i="2" s="1"/>
  <c r="I1145" i="2"/>
  <c r="P1144" i="2"/>
  <c r="P1145" i="2" s="1"/>
  <c r="I1187" i="2"/>
  <c r="P1186" i="2"/>
  <c r="P1187" i="2" s="1"/>
  <c r="P1228" i="2"/>
  <c r="P1229" i="2" s="1"/>
  <c r="I1229" i="2"/>
  <c r="P1270" i="2"/>
  <c r="P1271" i="2" s="1"/>
  <c r="I1271" i="2"/>
  <c r="I1313" i="2"/>
  <c r="P1312" i="2"/>
  <c r="P1313" i="2" s="1"/>
  <c r="P1354" i="2"/>
  <c r="I1355" i="2"/>
  <c r="I1398" i="2"/>
  <c r="P1372" i="2"/>
  <c r="I1416" i="2"/>
  <c r="P1416" i="2" s="1"/>
  <c r="P1381" i="2"/>
  <c r="Q1381" i="2" s="1"/>
  <c r="I1425" i="2"/>
  <c r="P1425" i="2" s="1"/>
  <c r="P1373" i="2"/>
  <c r="Q1373" i="2" s="1"/>
  <c r="I1417" i="2"/>
  <c r="P1417" i="2" s="1"/>
  <c r="Q1417" i="2" s="1"/>
  <c r="P1382" i="2"/>
  <c r="Q1382" i="2" s="1"/>
  <c r="I1426" i="2"/>
  <c r="P1426" i="2" s="1"/>
  <c r="I599" i="2"/>
  <c r="P598" i="2"/>
  <c r="P599" i="2" s="1"/>
  <c r="I557" i="2"/>
  <c r="P556" i="2"/>
  <c r="P557" i="2" s="1"/>
  <c r="P1374" i="2"/>
  <c r="Q1374" i="2" s="1"/>
  <c r="I1418" i="2"/>
  <c r="P1418" i="2" s="1"/>
  <c r="P1383" i="2"/>
  <c r="Q1383" i="2" s="1"/>
  <c r="I1427" i="2"/>
  <c r="P1427" i="2" s="1"/>
  <c r="I347" i="2"/>
  <c r="P346" i="2"/>
  <c r="P347" i="2" s="1"/>
  <c r="P1375" i="2"/>
  <c r="I1419" i="2"/>
  <c r="P1419" i="2" s="1"/>
  <c r="P1384" i="2"/>
  <c r="Q1384" i="2" s="1"/>
  <c r="I1428" i="2"/>
  <c r="P1428" i="2" s="1"/>
  <c r="I11" i="2"/>
  <c r="P10" i="2"/>
  <c r="P11" i="2" s="1"/>
  <c r="I305" i="2"/>
  <c r="P304" i="2"/>
  <c r="P305" i="2" s="1"/>
  <c r="P388" i="2"/>
  <c r="Q406" i="2" s="1"/>
  <c r="I389" i="2"/>
  <c r="I431" i="2"/>
  <c r="P430" i="2"/>
  <c r="P431" i="2" s="1"/>
  <c r="I515" i="2"/>
  <c r="P514" i="2"/>
  <c r="P515" i="2" s="1"/>
  <c r="I683" i="2"/>
  <c r="P682" i="2"/>
  <c r="P683" i="2" s="1"/>
  <c r="P45" i="2"/>
  <c r="P47" i="2" s="1"/>
  <c r="I47" i="2"/>
  <c r="I48" i="2"/>
  <c r="P48" i="2" s="1"/>
  <c r="I50" i="2"/>
  <c r="P50" i="2" s="1"/>
  <c r="P1376" i="2"/>
  <c r="I1420" i="2"/>
  <c r="P1420" i="2" s="1"/>
  <c r="P1385" i="2"/>
  <c r="Q1385" i="2" s="1"/>
  <c r="I1429" i="2"/>
  <c r="P1429" i="2" s="1"/>
  <c r="I179" i="2"/>
  <c r="P178" i="2"/>
  <c r="P179" i="2" s="1"/>
  <c r="I473" i="2"/>
  <c r="P472" i="2"/>
  <c r="P473" i="2" s="1"/>
  <c r="Q167" i="2"/>
  <c r="P3" i="2"/>
  <c r="P9" i="2" s="1"/>
  <c r="I9" i="2"/>
  <c r="I5" i="2"/>
  <c r="I135" i="2"/>
  <c r="P129" i="2"/>
  <c r="P135" i="2" s="1"/>
  <c r="I131" i="2"/>
  <c r="I173" i="2"/>
  <c r="I177" i="2"/>
  <c r="P171" i="2"/>
  <c r="P177" i="2" s="1"/>
  <c r="I219" i="2"/>
  <c r="I215" i="2"/>
  <c r="P213" i="2"/>
  <c r="P219" i="2" s="1"/>
  <c r="I303" i="2"/>
  <c r="P297" i="2"/>
  <c r="P299" i="2" s="1"/>
  <c r="I299" i="2"/>
  <c r="I345" i="2"/>
  <c r="I341" i="2"/>
  <c r="P339" i="2"/>
  <c r="P345" i="2" s="1"/>
  <c r="I387" i="2"/>
  <c r="I383" i="2"/>
  <c r="P381" i="2"/>
  <c r="P383" i="2" s="1"/>
  <c r="I429" i="2"/>
  <c r="I425" i="2"/>
  <c r="P423" i="2"/>
  <c r="P429" i="2" s="1"/>
  <c r="I471" i="2"/>
  <c r="P465" i="2"/>
  <c r="P471" i="2" s="1"/>
  <c r="I467" i="2"/>
  <c r="I513" i="2"/>
  <c r="I509" i="2"/>
  <c r="P507" i="2"/>
  <c r="P513" i="2" s="1"/>
  <c r="I597" i="2"/>
  <c r="I593" i="2"/>
  <c r="P591" i="2"/>
  <c r="P597" i="2" s="1"/>
  <c r="I639" i="2"/>
  <c r="I635" i="2"/>
  <c r="P633" i="2"/>
  <c r="P639" i="2" s="1"/>
  <c r="I555" i="2"/>
  <c r="I551" i="2"/>
  <c r="P549" i="2"/>
  <c r="P555" i="2" s="1"/>
  <c r="I681" i="2"/>
  <c r="I677" i="2"/>
  <c r="P675" i="2"/>
  <c r="P677" i="2" s="1"/>
  <c r="I723" i="2"/>
  <c r="P717" i="2"/>
  <c r="P723" i="2" s="1"/>
  <c r="I719" i="2"/>
  <c r="I765" i="2"/>
  <c r="I761" i="2"/>
  <c r="P759" i="2"/>
  <c r="P765" i="2" s="1"/>
  <c r="I803" i="2"/>
  <c r="I807" i="2"/>
  <c r="P801" i="2"/>
  <c r="P807" i="2" s="1"/>
  <c r="I849" i="2"/>
  <c r="I845" i="2"/>
  <c r="P843" i="2"/>
  <c r="P849" i="2" s="1"/>
  <c r="I891" i="2"/>
  <c r="I887" i="2"/>
  <c r="P885" i="2"/>
  <c r="P891" i="2" s="1"/>
  <c r="I933" i="2"/>
  <c r="I929" i="2"/>
  <c r="P927" i="2"/>
  <c r="P933" i="2" s="1"/>
  <c r="I261" i="2"/>
  <c r="P255" i="2"/>
  <c r="P261" i="2" s="1"/>
  <c r="I257" i="2"/>
  <c r="I975" i="2"/>
  <c r="P969" i="2"/>
  <c r="P975" i="2" s="1"/>
  <c r="I971" i="2"/>
  <c r="I1017" i="2"/>
  <c r="I1013" i="2"/>
  <c r="P1011" i="2"/>
  <c r="P1017" i="2" s="1"/>
  <c r="I1059" i="2"/>
  <c r="I1055" i="2"/>
  <c r="P1053" i="2"/>
  <c r="P1059" i="2" s="1"/>
  <c r="I1101" i="2"/>
  <c r="P1095" i="2"/>
  <c r="P1101" i="2" s="1"/>
  <c r="I1097" i="2"/>
  <c r="I1143" i="2"/>
  <c r="I1139" i="2"/>
  <c r="P1137" i="2"/>
  <c r="P1143" i="2" s="1"/>
  <c r="I1185" i="2"/>
  <c r="I1181" i="2"/>
  <c r="P1179" i="2"/>
  <c r="P1185" i="2" s="1"/>
  <c r="I1227" i="2"/>
  <c r="I1223" i="2"/>
  <c r="P1221" i="2"/>
  <c r="P1227" i="2" s="1"/>
  <c r="I1269" i="2"/>
  <c r="I1265" i="2"/>
  <c r="P1263" i="2"/>
  <c r="P1269" i="2" s="1"/>
  <c r="P1305" i="2"/>
  <c r="P1311" i="2" s="1"/>
  <c r="I1307" i="2"/>
  <c r="I1311" i="2"/>
  <c r="I1353" i="2"/>
  <c r="I1391" i="2"/>
  <c r="P1391" i="2" s="1"/>
  <c r="P1347" i="2"/>
  <c r="I1349" i="2"/>
  <c r="P1377" i="2"/>
  <c r="I1421" i="2"/>
  <c r="P1421" i="2" s="1"/>
  <c r="Q96" i="2"/>
  <c r="Q97" i="2"/>
  <c r="I89" i="2"/>
  <c r="I93" i="2"/>
  <c r="P87" i="2"/>
  <c r="P93" i="2" s="1"/>
  <c r="Q21" i="2"/>
  <c r="Q17" i="2"/>
  <c r="Q142" i="2"/>
  <c r="Q140" i="2"/>
  <c r="Q139" i="2"/>
  <c r="Q146" i="2"/>
  <c r="Q141" i="2"/>
  <c r="Q185" i="2"/>
  <c r="Q181" i="2"/>
  <c r="Q225" i="2"/>
  <c r="Q226" i="2"/>
  <c r="Q224" i="2"/>
  <c r="Q228" i="2"/>
  <c r="Q223" i="2"/>
  <c r="Q308" i="2"/>
  <c r="Q312" i="2"/>
  <c r="Q307" i="2"/>
  <c r="Q309" i="2"/>
  <c r="Q311" i="2"/>
  <c r="Q314" i="2"/>
  <c r="Q310" i="2"/>
  <c r="Q356" i="2"/>
  <c r="Q354" i="2"/>
  <c r="Q351" i="2"/>
  <c r="Q349" i="2"/>
  <c r="Q350" i="2"/>
  <c r="Q391" i="2"/>
  <c r="Q435" i="2"/>
  <c r="Q436" i="2"/>
  <c r="Q433" i="2"/>
  <c r="Q432" i="2"/>
  <c r="Q477" i="2"/>
  <c r="Q475" i="2"/>
  <c r="Q479" i="2"/>
  <c r="Q482" i="2"/>
  <c r="Q474" i="2"/>
  <c r="Q528" i="2"/>
  <c r="Q519" i="2"/>
  <c r="Q522" i="2"/>
  <c r="Q517" i="2"/>
  <c r="Q601" i="2"/>
  <c r="Q643" i="2"/>
  <c r="Q566" i="2"/>
  <c r="Q561" i="2"/>
  <c r="Q559" i="2"/>
  <c r="Q560" i="2"/>
  <c r="Q685" i="2"/>
  <c r="Q692" i="2"/>
  <c r="Q727" i="2"/>
  <c r="Q769" i="2"/>
  <c r="Q781" i="2"/>
  <c r="Q776" i="2"/>
  <c r="Q774" i="2"/>
  <c r="Q768" i="2"/>
  <c r="Q770" i="2"/>
  <c r="Q811" i="2"/>
  <c r="Q818" i="2"/>
  <c r="Q857" i="2"/>
  <c r="Q853" i="2"/>
  <c r="Q899" i="2"/>
  <c r="Q895" i="2"/>
  <c r="Q898" i="2"/>
  <c r="Q944" i="2"/>
  <c r="Q937" i="2"/>
  <c r="Q940" i="2"/>
  <c r="Q939" i="2"/>
  <c r="Q265" i="2"/>
  <c r="Q979" i="2"/>
  <c r="Q982" i="2"/>
  <c r="Q983" i="2"/>
  <c r="Q1021" i="2"/>
  <c r="Q1023" i="2"/>
  <c r="Q1024" i="2"/>
  <c r="Q1025" i="2"/>
  <c r="Q1070" i="2"/>
  <c r="Q1063" i="2"/>
  <c r="Q1062" i="2"/>
  <c r="Q1105" i="2"/>
  <c r="Q1112" i="2"/>
  <c r="Q1146" i="2"/>
  <c r="Q1147" i="2"/>
  <c r="Q1149" i="2"/>
  <c r="Q1189" i="2"/>
  <c r="Q1196" i="2"/>
  <c r="Q1193" i="2"/>
  <c r="Q1231" i="2"/>
  <c r="Q1233" i="2"/>
  <c r="Q1276" i="2"/>
  <c r="Q1273" i="2"/>
  <c r="Q1275" i="2"/>
  <c r="Q1315" i="2"/>
  <c r="Q1314" i="2"/>
  <c r="Q1317" i="2"/>
  <c r="Q1322" i="2"/>
  <c r="Q1318" i="2"/>
  <c r="P1348" i="2"/>
  <c r="I1392" i="2"/>
  <c r="P1378" i="2"/>
  <c r="Q1378" i="2" s="1"/>
  <c r="I1422" i="2"/>
  <c r="P1422" i="2" s="1"/>
  <c r="I90" i="2"/>
  <c r="P90" i="2" s="1"/>
  <c r="I132" i="2"/>
  <c r="P132" i="2" s="1"/>
  <c r="I174" i="2"/>
  <c r="P174" i="2" s="1"/>
  <c r="I216" i="2"/>
  <c r="P216" i="2" s="1"/>
  <c r="P217" i="2" s="1"/>
  <c r="I300" i="2"/>
  <c r="P300" i="2" s="1"/>
  <c r="I426" i="2"/>
  <c r="P426" i="2" s="1"/>
  <c r="I594" i="2"/>
  <c r="P594" i="2" s="1"/>
  <c r="I636" i="2"/>
  <c r="P636" i="2" s="1"/>
  <c r="I110" i="2"/>
  <c r="P110" i="2" s="1"/>
  <c r="I488" i="2"/>
  <c r="P488" i="2" s="1"/>
  <c r="I572" i="2"/>
  <c r="P572" i="2" s="1"/>
  <c r="I698" i="2"/>
  <c r="P698" i="2" s="1"/>
  <c r="I740" i="2"/>
  <c r="P740" i="2" s="1"/>
  <c r="I804" i="2"/>
  <c r="P804" i="2" s="1"/>
  <c r="I258" i="2"/>
  <c r="P258" i="2" s="1"/>
  <c r="I278" i="2"/>
  <c r="P278" i="2" s="1"/>
  <c r="Q278" i="2" s="1"/>
  <c r="I992" i="2"/>
  <c r="P992" i="2" s="1"/>
  <c r="I1034" i="2"/>
  <c r="P1034" i="2" s="1"/>
  <c r="I1244" i="2"/>
  <c r="P1244" i="2" s="1"/>
  <c r="I1266" i="2"/>
  <c r="P1266" i="2" s="1"/>
  <c r="I6" i="2"/>
  <c r="P6" i="2" s="1"/>
  <c r="I204" i="2"/>
  <c r="P204" i="2" s="1"/>
  <c r="Q204" i="2" s="1"/>
  <c r="I624" i="2"/>
  <c r="P624" i="2" s="1"/>
  <c r="Q624" i="2" s="1"/>
  <c r="I666" i="2"/>
  <c r="P666" i="2" s="1"/>
  <c r="Q666" i="2" s="1"/>
  <c r="I750" i="2"/>
  <c r="P750" i="2" s="1"/>
  <c r="Q750" i="2" s="1"/>
  <c r="I824" i="2"/>
  <c r="P824" i="2" s="1"/>
  <c r="I834" i="2"/>
  <c r="P834" i="2" s="1"/>
  <c r="I918" i="2"/>
  <c r="P918" i="2" s="1"/>
  <c r="Q918" i="2" s="1"/>
  <c r="I960" i="2"/>
  <c r="P960" i="2" s="1"/>
  <c r="I1044" i="2"/>
  <c r="P1044" i="2" s="1"/>
  <c r="I1118" i="2"/>
  <c r="P1118" i="2" s="1"/>
  <c r="I1128" i="2"/>
  <c r="P1128" i="2" s="1"/>
  <c r="I1212" i="2"/>
  <c r="P1212" i="2" s="1"/>
  <c r="I1254" i="2"/>
  <c r="P1254" i="2" s="1"/>
  <c r="Q1254" i="2" s="1"/>
  <c r="I1296" i="2"/>
  <c r="P1296" i="2" s="1"/>
  <c r="Q1296" i="2" s="1"/>
  <c r="I1380" i="2"/>
  <c r="I78" i="2"/>
  <c r="P78" i="2" s="1"/>
  <c r="Q78" i="2" s="1"/>
  <c r="I26" i="2"/>
  <c r="P26" i="2" s="1"/>
  <c r="I36" i="2"/>
  <c r="P36" i="2" s="1"/>
  <c r="Q36" i="2" s="1"/>
  <c r="I162" i="2"/>
  <c r="P162" i="2" s="1"/>
  <c r="Q162" i="2" s="1"/>
  <c r="I320" i="2"/>
  <c r="P320" i="2" s="1"/>
  <c r="I468" i="2"/>
  <c r="P468" i="2" s="1"/>
  <c r="I510" i="2"/>
  <c r="P510" i="2" s="1"/>
  <c r="I782" i="2"/>
  <c r="P782" i="2" s="1"/>
  <c r="I1076" i="2"/>
  <c r="P1076" i="2" s="1"/>
  <c r="I414" i="2"/>
  <c r="P414" i="2" s="1"/>
  <c r="Q414" i="2" s="1"/>
  <c r="I762" i="2"/>
  <c r="P762" i="2" s="1"/>
  <c r="I846" i="2"/>
  <c r="P846" i="2" s="1"/>
  <c r="I888" i="2"/>
  <c r="P888" i="2" s="1"/>
  <c r="I930" i="2"/>
  <c r="P930" i="2" s="1"/>
  <c r="I1056" i="2"/>
  <c r="P1056" i="2" s="1"/>
  <c r="I1140" i="2"/>
  <c r="P1140" i="2" s="1"/>
  <c r="I1182" i="2"/>
  <c r="P1182" i="2" s="1"/>
  <c r="I1098" i="2"/>
  <c r="P1098" i="2" s="1"/>
  <c r="I1170" i="2"/>
  <c r="P1170" i="2" s="1"/>
  <c r="Q1170" i="2" s="1"/>
  <c r="I236" i="2"/>
  <c r="P236" i="2" s="1"/>
  <c r="I342" i="2"/>
  <c r="P342" i="2" s="1"/>
  <c r="I384" i="2"/>
  <c r="P384" i="2" s="1"/>
  <c r="I456" i="2"/>
  <c r="P456" i="2" s="1"/>
  <c r="Q456" i="2" s="1"/>
  <c r="I530" i="2"/>
  <c r="P530" i="2" s="1"/>
  <c r="I614" i="2"/>
  <c r="P614" i="2" s="1"/>
  <c r="Q614" i="2" s="1"/>
  <c r="I656" i="2"/>
  <c r="P656" i="2" s="1"/>
  <c r="I582" i="2"/>
  <c r="P582" i="2" s="1"/>
  <c r="I972" i="2"/>
  <c r="P972" i="2" s="1"/>
  <c r="I1002" i="2"/>
  <c r="P1002" i="2" s="1"/>
  <c r="Q1002" i="2" s="1"/>
  <c r="I1014" i="2"/>
  <c r="P1014" i="2" s="1"/>
  <c r="I1086" i="2"/>
  <c r="P1086" i="2" s="1"/>
  <c r="Q1086" i="2" s="1"/>
  <c r="I1160" i="2"/>
  <c r="P1160" i="2" s="1"/>
  <c r="I1202" i="2"/>
  <c r="P1202" i="2" s="1"/>
  <c r="I1224" i="2"/>
  <c r="P1224" i="2" s="1"/>
  <c r="I1308" i="2"/>
  <c r="P1308" i="2" s="1"/>
  <c r="I1338" i="2"/>
  <c r="P1338" i="2" s="1"/>
  <c r="Q1338" i="2" s="1"/>
  <c r="I1350" i="2"/>
  <c r="I1351" i="2" s="1"/>
  <c r="I246" i="2"/>
  <c r="P246" i="2" s="1"/>
  <c r="Q246" i="2" s="1"/>
  <c r="I362" i="2"/>
  <c r="P362" i="2" s="1"/>
  <c r="I404" i="2"/>
  <c r="P404" i="2" s="1"/>
  <c r="Q404" i="2" s="1"/>
  <c r="I446" i="2"/>
  <c r="P446" i="2" s="1"/>
  <c r="I498" i="2"/>
  <c r="P498" i="2" s="1"/>
  <c r="I708" i="2"/>
  <c r="P708" i="2" s="1"/>
  <c r="I876" i="2"/>
  <c r="P876" i="2" s="1"/>
  <c r="Q876" i="2" s="1"/>
  <c r="I1286" i="2"/>
  <c r="P1286" i="2" s="1"/>
  <c r="I1328" i="2"/>
  <c r="P1328" i="2" s="1"/>
  <c r="I1370" i="2"/>
  <c r="I120" i="2"/>
  <c r="P120" i="2" s="1"/>
  <c r="Q120" i="2" s="1"/>
  <c r="I152" i="2"/>
  <c r="P152" i="2" s="1"/>
  <c r="I194" i="2"/>
  <c r="P194" i="2" s="1"/>
  <c r="I330" i="2"/>
  <c r="P330" i="2" s="1"/>
  <c r="I372" i="2"/>
  <c r="P372" i="2" s="1"/>
  <c r="I540" i="2"/>
  <c r="P540" i="2" s="1"/>
  <c r="Q540" i="2" s="1"/>
  <c r="I552" i="2"/>
  <c r="P552" i="2" s="1"/>
  <c r="I678" i="2"/>
  <c r="P678" i="2" s="1"/>
  <c r="I720" i="2"/>
  <c r="P720" i="2" s="1"/>
  <c r="P721" i="2" s="1"/>
  <c r="I792" i="2"/>
  <c r="P792" i="2" s="1"/>
  <c r="I866" i="2"/>
  <c r="P866" i="2" s="1"/>
  <c r="Q866" i="2" s="1"/>
  <c r="I908" i="2"/>
  <c r="P908" i="2" s="1"/>
  <c r="I950" i="2"/>
  <c r="P950" i="2" s="1"/>
  <c r="I288" i="2"/>
  <c r="P288" i="2" s="1"/>
  <c r="Q288" i="2" s="1"/>
  <c r="I68" i="2"/>
  <c r="P68" i="2" s="1"/>
  <c r="Q68" i="2" s="1"/>
  <c r="Q152" i="2" l="1"/>
  <c r="Q164" i="2"/>
  <c r="Q492" i="2"/>
  <c r="Q1291" i="2"/>
  <c r="Q1076" i="2"/>
  <c r="Q453" i="2"/>
  <c r="Q792" i="2"/>
  <c r="Q782" i="2"/>
  <c r="Q154" i="2"/>
  <c r="Q1250" i="2"/>
  <c r="Q1202" i="2"/>
  <c r="P385" i="2"/>
  <c r="Q1038" i="2"/>
  <c r="Q1377" i="2"/>
  <c r="Q579" i="2"/>
  <c r="Q495" i="2"/>
  <c r="Q996" i="2"/>
  <c r="Q829" i="2"/>
  <c r="Q573" i="2"/>
  <c r="Q828" i="2"/>
  <c r="P1267" i="2"/>
  <c r="Q1165" i="2"/>
  <c r="P679" i="2"/>
  <c r="Q241" i="2"/>
  <c r="Q1204" i="2"/>
  <c r="Q534" i="2"/>
  <c r="Q1251" i="2"/>
  <c r="Q998" i="2"/>
  <c r="Q786" i="2"/>
  <c r="Q156" i="2"/>
  <c r="Q834" i="2"/>
  <c r="P931" i="2"/>
  <c r="Q824" i="2"/>
  <c r="Q244" i="2"/>
  <c r="Q236" i="2"/>
  <c r="P637" i="2"/>
  <c r="P215" i="2"/>
  <c r="P1225" i="2"/>
  <c r="P635" i="2"/>
  <c r="P1355" i="2"/>
  <c r="Q1286" i="2"/>
  <c r="Q194" i="2"/>
  <c r="Q446" i="2"/>
  <c r="Q237" i="2"/>
  <c r="Q1292" i="2"/>
  <c r="P341" i="2"/>
  <c r="P343" i="2"/>
  <c r="Q1212" i="2"/>
  <c r="Q1034" i="2"/>
  <c r="P1181" i="2"/>
  <c r="Q742" i="2"/>
  <c r="Q494" i="2"/>
  <c r="Q1044" i="2"/>
  <c r="P469" i="2"/>
  <c r="P1097" i="2"/>
  <c r="P1099" i="2"/>
  <c r="P1183" i="2"/>
  <c r="Q740" i="2"/>
  <c r="Q1360" i="2"/>
  <c r="Q1361" i="2"/>
  <c r="Q1359" i="2"/>
  <c r="P467" i="2"/>
  <c r="P511" i="2"/>
  <c r="Q572" i="2"/>
  <c r="Q999" i="2"/>
  <c r="Q1215" i="2"/>
  <c r="Q1082" i="2"/>
  <c r="Q992" i="2"/>
  <c r="P91" i="2"/>
  <c r="Q582" i="2"/>
  <c r="Q498" i="2"/>
  <c r="Q656" i="2"/>
  <c r="Q1333" i="2"/>
  <c r="Q1248" i="2"/>
  <c r="P301" i="2"/>
  <c r="Q1376" i="2"/>
  <c r="Q1162" i="2"/>
  <c r="P1015" i="2"/>
  <c r="Q488" i="2"/>
  <c r="Q658" i="2"/>
  <c r="Q490" i="2"/>
  <c r="Q1245" i="2"/>
  <c r="P551" i="2"/>
  <c r="P303" i="2"/>
  <c r="Q745" i="2"/>
  <c r="Q1045" i="2"/>
  <c r="Q499" i="2"/>
  <c r="P847" i="2"/>
  <c r="Q1078" i="2"/>
  <c r="Q32" i="2"/>
  <c r="Q1249" i="2"/>
  <c r="Q872" i="2"/>
  <c r="Q363" i="2"/>
  <c r="P973" i="2"/>
  <c r="P595" i="2"/>
  <c r="P7" i="2"/>
  <c r="P593" i="2"/>
  <c r="Q1244" i="2"/>
  <c r="P175" i="2"/>
  <c r="P5" i="2"/>
  <c r="P889" i="2"/>
  <c r="Q320" i="2"/>
  <c r="P1141" i="2"/>
  <c r="Q530" i="2"/>
  <c r="P553" i="2"/>
  <c r="Q110" i="2"/>
  <c r="Q538" i="2"/>
  <c r="Q26" i="2"/>
  <c r="P971" i="2"/>
  <c r="P929" i="2"/>
  <c r="P719" i="2"/>
  <c r="P845" i="2"/>
  <c r="P173" i="2"/>
  <c r="Q452" i="2"/>
  <c r="Q838" i="2"/>
  <c r="Q950" i="2"/>
  <c r="P763" i="2"/>
  <c r="P259" i="2"/>
  <c r="P1139" i="2"/>
  <c r="Q326" i="2"/>
  <c r="Q796" i="2"/>
  <c r="Q330" i="2"/>
  <c r="Q1328" i="2"/>
  <c r="P427" i="2"/>
  <c r="P509" i="2"/>
  <c r="Q242" i="2"/>
  <c r="Q166" i="2"/>
  <c r="Q960" i="2"/>
  <c r="P1223" i="2"/>
  <c r="P257" i="2"/>
  <c r="P761" i="2"/>
  <c r="P425" i="2"/>
  <c r="P131" i="2"/>
  <c r="Q698" i="2"/>
  <c r="Q961" i="2"/>
  <c r="Q708" i="2"/>
  <c r="Q1160" i="2"/>
  <c r="P1265" i="2"/>
  <c r="P1013" i="2"/>
  <c r="P887" i="2"/>
  <c r="Q1041" i="2"/>
  <c r="Q1334" i="2"/>
  <c r="Q238" i="2"/>
  <c r="Q240" i="2"/>
  <c r="Q1036" i="2"/>
  <c r="Q952" i="2"/>
  <c r="P133" i="2"/>
  <c r="Q331" i="2"/>
  <c r="Q915" i="2"/>
  <c r="Q1128" i="2"/>
  <c r="Q201" i="2"/>
  <c r="Q914" i="2"/>
  <c r="Q372" i="2"/>
  <c r="Q362" i="2"/>
  <c r="Q1118" i="2"/>
  <c r="P1055" i="2"/>
  <c r="Q908" i="2"/>
  <c r="P1309" i="2"/>
  <c r="P805" i="2"/>
  <c r="Q1330" i="2"/>
  <c r="P803" i="2"/>
  <c r="Q370" i="2"/>
  <c r="P89" i="2"/>
  <c r="Q502" i="2"/>
  <c r="Q376" i="2"/>
  <c r="Q784" i="2"/>
  <c r="P1057" i="2"/>
  <c r="Q1288" i="2"/>
  <c r="Q994" i="2"/>
  <c r="I595" i="2"/>
  <c r="I469" i="2"/>
  <c r="Q324" i="2"/>
  <c r="Q532" i="2"/>
  <c r="Q1035" i="2"/>
  <c r="Q783" i="2"/>
  <c r="I1225" i="2"/>
  <c r="I1141" i="2"/>
  <c r="I1057" i="2"/>
  <c r="I259" i="2"/>
  <c r="I553" i="2"/>
  <c r="Q33" i="2"/>
  <c r="Q322" i="2"/>
  <c r="I49" i="2"/>
  <c r="Q415" i="2"/>
  <c r="P389" i="2"/>
  <c r="P387" i="2"/>
  <c r="Q1372" i="2"/>
  <c r="Q826" i="2"/>
  <c r="Q709" i="2"/>
  <c r="P1380" i="2"/>
  <c r="Q1380" i="2" s="1"/>
  <c r="I1424" i="2"/>
  <c r="P1424" i="2" s="1"/>
  <c r="I91" i="2"/>
  <c r="I805" i="2"/>
  <c r="I721" i="2"/>
  <c r="I301" i="2"/>
  <c r="P1398" i="2"/>
  <c r="Q1420" i="2" s="1"/>
  <c r="Q1129" i="2"/>
  <c r="Q700" i="2"/>
  <c r="Q328" i="2"/>
  <c r="I1309" i="2"/>
  <c r="I763" i="2"/>
  <c r="I679" i="2"/>
  <c r="I511" i="2"/>
  <c r="Q1375" i="2"/>
  <c r="Q1246" i="2"/>
  <c r="Q1120" i="2"/>
  <c r="Q574" i="2"/>
  <c r="Q1161" i="2"/>
  <c r="P681" i="2"/>
  <c r="I1393" i="2"/>
  <c r="P1392" i="2"/>
  <c r="I973" i="2"/>
  <c r="I847" i="2"/>
  <c r="I637" i="2"/>
  <c r="I427" i="2"/>
  <c r="I343" i="2"/>
  <c r="I217" i="2"/>
  <c r="I175" i="2"/>
  <c r="I7" i="2"/>
  <c r="P51" i="2"/>
  <c r="P53" i="2"/>
  <c r="I1396" i="2"/>
  <c r="I1399" i="2" s="1"/>
  <c r="P1349" i="2"/>
  <c r="Q1362" i="2"/>
  <c r="Q1357" i="2"/>
  <c r="I1267" i="2"/>
  <c r="I1183" i="2"/>
  <c r="I1099" i="2"/>
  <c r="I1015" i="2"/>
  <c r="I931" i="2"/>
  <c r="I133" i="2"/>
  <c r="P49" i="2"/>
  <c r="Q1164" i="2"/>
  <c r="P1353" i="2"/>
  <c r="P1350" i="2"/>
  <c r="P1351" i="2" s="1"/>
  <c r="I1394" i="2"/>
  <c r="I51" i="2"/>
  <c r="Q868" i="2"/>
  <c r="Q448" i="2"/>
  <c r="Q489" i="2"/>
  <c r="Q1329" i="2"/>
  <c r="Q1077" i="2"/>
  <c r="P1370" i="2"/>
  <c r="Q1370" i="2" s="1"/>
  <c r="I1414" i="2"/>
  <c r="P1414" i="2" s="1"/>
  <c r="Q1414" i="2" s="1"/>
  <c r="P1307" i="2"/>
  <c r="I889" i="2"/>
  <c r="I385" i="2"/>
  <c r="Q327" i="2"/>
  <c r="Q535" i="2"/>
  <c r="Q585" i="2"/>
  <c r="Q364" i="2"/>
  <c r="Q111" i="2"/>
  <c r="Q447" i="2"/>
  <c r="Q1409" i="2" l="1"/>
  <c r="Q1411" i="2"/>
  <c r="Q1415" i="2"/>
  <c r="I1395" i="2"/>
  <c r="P1394" i="2"/>
  <c r="P1395" i="2" s="1"/>
  <c r="Q1416" i="2"/>
  <c r="Q1412" i="2"/>
  <c r="Q1402" i="2"/>
  <c r="Q1404" i="2"/>
  <c r="Q1401" i="2"/>
  <c r="Q1403" i="2"/>
  <c r="Q1413" i="2"/>
  <c r="Q1405" i="2"/>
  <c r="P1393" i="2"/>
  <c r="Q1408" i="2"/>
  <c r="Q1406" i="2"/>
  <c r="Q1400" i="2"/>
  <c r="Q1422" i="2"/>
  <c r="Q1427" i="2"/>
  <c r="Q1426" i="2"/>
  <c r="Q1424" i="2"/>
  <c r="Q1428" i="2"/>
  <c r="Q1418" i="2"/>
  <c r="Q1429" i="2"/>
  <c r="Q1421" i="2"/>
  <c r="Q1425" i="2"/>
  <c r="I1397" i="2"/>
  <c r="P1396" i="2"/>
  <c r="P1397" i="2" s="1"/>
  <c r="Q1419" i="2"/>
  <c r="P1399" i="2" l="1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<sst xmlns="http://schemas.openxmlformats.org/spreadsheetml/2006/main" count="1973" uniqueCount="123">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</sst>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/>
    <xf numFmtId="0" fontId="7" fillId="0" borderId="19" xfId="0" applyFont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0" fontId="7" fillId="0" borderId="13" xfId="0" applyFont="1" applyFill="1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606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224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1174</v>
          </cell>
          <cell r="C9">
            <v>3</v>
          </cell>
          <cell r="D9">
            <v>1</v>
          </cell>
          <cell r="E9">
            <v>2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413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1854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819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707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533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1136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1790</v>
          </cell>
          <cell r="C16">
            <v>2</v>
          </cell>
          <cell r="D16">
            <v>0</v>
          </cell>
          <cell r="E16">
            <v>2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1096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534</v>
          </cell>
          <cell r="C18">
            <v>0</v>
          </cell>
          <cell r="D18">
            <v>-1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1008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1652</v>
          </cell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</v>
          </cell>
          <cell r="V20">
            <v>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293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598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1504</v>
          </cell>
          <cell r="C23">
            <v>2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1432</v>
          </cell>
          <cell r="C24">
            <v>3</v>
          </cell>
          <cell r="D24">
            <v>1</v>
          </cell>
          <cell r="E24">
            <v>2</v>
          </cell>
          <cell r="F24">
            <v>2</v>
          </cell>
          <cell r="G24">
            <v>0</v>
          </cell>
          <cell r="H24">
            <v>2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0</v>
          </cell>
          <cell r="X24">
            <v>0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861</v>
          </cell>
          <cell r="C25">
            <v>1</v>
          </cell>
          <cell r="D25">
            <v>0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1194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1474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899</v>
          </cell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1296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0</v>
          </cell>
          <cell r="W30">
            <v>0</v>
          </cell>
          <cell r="X30">
            <v>0</v>
          </cell>
          <cell r="Y30">
            <v>1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1416</v>
          </cell>
          <cell r="C31">
            <v>2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1661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611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1525</v>
          </cell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436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655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1195</v>
          </cell>
          <cell r="C38">
            <v>2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31744</v>
          </cell>
          <cell r="C39">
            <v>24</v>
          </cell>
          <cell r="D39">
            <v>11</v>
          </cell>
          <cell r="E39">
            <v>13</v>
          </cell>
          <cell r="F39">
            <v>9</v>
          </cell>
          <cell r="G39">
            <v>1</v>
          </cell>
          <cell r="H39">
            <v>6</v>
          </cell>
          <cell r="I39">
            <v>0</v>
          </cell>
          <cell r="J39">
            <v>9</v>
          </cell>
          <cell r="K39">
            <v>0</v>
          </cell>
          <cell r="L39">
            <v>5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12</v>
          </cell>
          <cell r="V39">
            <v>1</v>
          </cell>
          <cell r="W39">
            <v>1</v>
          </cell>
          <cell r="X39">
            <v>0</v>
          </cell>
          <cell r="Y39">
            <v>4</v>
          </cell>
          <cell r="Z39">
            <v>2</v>
          </cell>
          <cell r="AA39">
            <v>0</v>
          </cell>
          <cell r="AB39">
            <v>4</v>
          </cell>
          <cell r="AC39">
            <v>0</v>
          </cell>
          <cell r="AD39">
            <v>0</v>
          </cell>
          <cell r="AE39">
            <v>2</v>
          </cell>
          <cell r="AF39">
            <v>1</v>
          </cell>
          <cell r="AG39">
            <v>0</v>
          </cell>
          <cell r="AH39">
            <v>0</v>
          </cell>
          <cell r="AI39">
            <v>1</v>
          </cell>
          <cell r="AJ39">
            <v>0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U4" t="str">
            <v>Breakdown of Complaints Upheld</v>
          </cell>
        </row>
        <row r="5">
          <cell r="A5" t="str">
            <v>Borough</v>
          </cell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591</v>
          </cell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237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539</v>
          </cell>
          <cell r="C8">
            <v>1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1227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421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1954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748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741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535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1207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2094</v>
          </cell>
          <cell r="C16">
            <v>2</v>
          </cell>
          <cell r="D16">
            <v>1</v>
          </cell>
          <cell r="E16">
            <v>1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1116</v>
          </cell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515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1065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1642</v>
          </cell>
          <cell r="C20">
            <v>2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283</v>
          </cell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683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1587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1458</v>
          </cell>
          <cell r="C24">
            <v>2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1085</v>
          </cell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1230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1510</v>
          </cell>
          <cell r="C27">
            <v>3</v>
          </cell>
          <cell r="D27">
            <v>1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891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1367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1363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714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1788</v>
          </cell>
          <cell r="C33">
            <v>2</v>
          </cell>
          <cell r="D33">
            <v>0</v>
          </cell>
          <cell r="E33">
            <v>2</v>
          </cell>
          <cell r="F33">
            <v>1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658</v>
          </cell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1762</v>
          </cell>
          <cell r="C35">
            <v>2</v>
          </cell>
          <cell r="D35">
            <v>0</v>
          </cell>
          <cell r="E35">
            <v>2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1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651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1328</v>
          </cell>
          <cell r="C38">
            <v>2</v>
          </cell>
          <cell r="D38">
            <v>0</v>
          </cell>
          <cell r="E38">
            <v>2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33504</v>
          </cell>
          <cell r="C39">
            <v>29</v>
          </cell>
          <cell r="D39">
            <v>10</v>
          </cell>
          <cell r="E39">
            <v>19</v>
          </cell>
          <cell r="F39">
            <v>9</v>
          </cell>
          <cell r="G39">
            <v>0</v>
          </cell>
          <cell r="H39">
            <v>15</v>
          </cell>
          <cell r="I39">
            <v>0</v>
          </cell>
          <cell r="J39">
            <v>10</v>
          </cell>
          <cell r="K39">
            <v>2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0</v>
          </cell>
          <cell r="W39">
            <v>4</v>
          </cell>
          <cell r="X39">
            <v>0</v>
          </cell>
          <cell r="Y39">
            <v>3</v>
          </cell>
          <cell r="Z39">
            <v>1</v>
          </cell>
          <cell r="AA39">
            <v>1</v>
          </cell>
          <cell r="AB39">
            <v>2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329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711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1071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472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2218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1017</v>
          </cell>
          <cell r="C12">
            <v>3</v>
          </cell>
          <cell r="D12">
            <v>1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769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391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1395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2113</v>
          </cell>
          <cell r="C16">
            <v>4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1178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1309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1863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376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1771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1605</v>
          </cell>
          <cell r="C24">
            <v>3</v>
          </cell>
          <cell r="D24">
            <v>0</v>
          </cell>
          <cell r="E24">
            <v>3</v>
          </cell>
          <cell r="F24">
            <v>1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1357</v>
          </cell>
          <cell r="C25">
            <v>2</v>
          </cell>
          <cell r="D25">
            <v>0</v>
          </cell>
          <cell r="E25">
            <v>2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1163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1906</v>
          </cell>
          <cell r="C27">
            <v>2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1044</v>
          </cell>
          <cell r="C29">
            <v>2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1393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1108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1041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1593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738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1370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2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793</v>
          </cell>
          <cell r="C37">
            <v>3</v>
          </cell>
          <cell r="D37">
            <v>1</v>
          </cell>
          <cell r="E37">
            <v>2</v>
          </cell>
          <cell r="F37">
            <v>3</v>
          </cell>
          <cell r="G37">
            <v>1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</v>
          </cell>
          <cell r="V37">
            <v>1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1509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36090</v>
          </cell>
          <cell r="C39">
            <v>31</v>
          </cell>
          <cell r="D39">
            <v>5</v>
          </cell>
          <cell r="E39">
            <v>26</v>
          </cell>
          <cell r="F39">
            <v>17</v>
          </cell>
          <cell r="G39">
            <v>2</v>
          </cell>
          <cell r="H39">
            <v>15</v>
          </cell>
          <cell r="I39">
            <v>0</v>
          </cell>
          <cell r="J39">
            <v>3</v>
          </cell>
          <cell r="K39">
            <v>2</v>
          </cell>
          <cell r="L39">
            <v>5</v>
          </cell>
          <cell r="M39">
            <v>2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</v>
          </cell>
          <cell r="V39">
            <v>2</v>
          </cell>
          <cell r="W39">
            <v>7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2</v>
          </cell>
          <cell r="AC39">
            <v>2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757</v>
          </cell>
          <cell r="C6">
            <v>1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459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867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1323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1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2619</v>
          </cell>
          <cell r="C11">
            <v>2</v>
          </cell>
          <cell r="D11">
            <v>0</v>
          </cell>
          <cell r="E11">
            <v>2</v>
          </cell>
          <cell r="F11">
            <v>1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976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931</v>
          </cell>
          <cell r="C13">
            <v>2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1674</v>
          </cell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2394</v>
          </cell>
          <cell r="C16">
            <v>3</v>
          </cell>
          <cell r="D16">
            <v>0</v>
          </cell>
          <cell r="E16">
            <v>3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1453</v>
          </cell>
          <cell r="C17">
            <v>4</v>
          </cell>
          <cell r="D17">
            <v>2</v>
          </cell>
          <cell r="E17">
            <v>2</v>
          </cell>
          <cell r="F17">
            <v>2</v>
          </cell>
          <cell r="G17">
            <v>0</v>
          </cell>
          <cell r="H17">
            <v>2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2146</v>
          </cell>
          <cell r="C20">
            <v>3</v>
          </cell>
          <cell r="D20">
            <v>2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846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2007</v>
          </cell>
          <cell r="C23">
            <v>5</v>
          </cell>
          <cell r="D23">
            <v>1</v>
          </cell>
          <cell r="E23">
            <v>4</v>
          </cell>
          <cell r="F23">
            <v>4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4</v>
          </cell>
          <cell r="V23">
            <v>1</v>
          </cell>
          <cell r="W23">
            <v>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1758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1673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1389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2139</v>
          </cell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49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1269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1746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1732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1120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2006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853</v>
          </cell>
          <cell r="C34">
            <v>2</v>
          </cell>
          <cell r="D34">
            <v>0</v>
          </cell>
          <cell r="E34">
            <v>2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1739</v>
          </cell>
          <cell r="C35">
            <v>2</v>
          </cell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544</v>
          </cell>
          <cell r="C36">
            <v>2</v>
          </cell>
          <cell r="D36">
            <v>0</v>
          </cell>
          <cell r="E36">
            <v>2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887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1667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42955</v>
          </cell>
          <cell r="C39">
            <v>36</v>
          </cell>
          <cell r="D39">
            <v>8</v>
          </cell>
          <cell r="E39">
            <v>28</v>
          </cell>
          <cell r="F39">
            <v>17</v>
          </cell>
          <cell r="G39">
            <v>1</v>
          </cell>
          <cell r="H39">
            <v>18</v>
          </cell>
          <cell r="I39">
            <v>1</v>
          </cell>
          <cell r="J39">
            <v>4</v>
          </cell>
          <cell r="K39">
            <v>2</v>
          </cell>
          <cell r="L39">
            <v>2</v>
          </cell>
          <cell r="M39">
            <v>1</v>
          </cell>
          <cell r="N39">
            <v>0</v>
          </cell>
          <cell r="O39">
            <v>5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1</v>
          </cell>
          <cell r="U39">
            <v>14</v>
          </cell>
          <cell r="V39">
            <v>3</v>
          </cell>
          <cell r="W39">
            <v>9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3</v>
          </cell>
          <cell r="AF39">
            <v>1</v>
          </cell>
          <cell r="AG39">
            <v>1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519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1018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1567</v>
          </cell>
          <cell r="C9">
            <v>4</v>
          </cell>
          <cell r="D9">
            <v>3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739</v>
          </cell>
          <cell r="C10">
            <v>1</v>
          </cell>
          <cell r="D10">
            <v>0</v>
          </cell>
          <cell r="E10">
            <v>1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2823</v>
          </cell>
          <cell r="C11">
            <v>5</v>
          </cell>
          <cell r="D11">
            <v>1</v>
          </cell>
          <cell r="E11">
            <v>4</v>
          </cell>
          <cell r="F11">
            <v>2</v>
          </cell>
          <cell r="G11">
            <v>0</v>
          </cell>
          <cell r="H11">
            <v>3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1154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1179</v>
          </cell>
          <cell r="C13">
            <v>3</v>
          </cell>
          <cell r="D13">
            <v>1</v>
          </cell>
          <cell r="E13">
            <v>2</v>
          </cell>
          <cell r="F13">
            <v>1</v>
          </cell>
          <cell r="G13">
            <v>0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627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1941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2528</v>
          </cell>
          <cell r="C16">
            <v>1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0</v>
          </cell>
        </row>
        <row r="17">
          <cell r="A17" t="str">
            <v>HAM</v>
          </cell>
          <cell r="B17">
            <v>1398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982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1875</v>
          </cell>
          <cell r="C19">
            <v>2</v>
          </cell>
          <cell r="D19">
            <v>0</v>
          </cell>
          <cell r="E19">
            <v>2</v>
          </cell>
          <cell r="F19">
            <v>1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2280</v>
          </cell>
          <cell r="C20">
            <v>1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568</v>
          </cell>
          <cell r="C21">
            <v>2</v>
          </cell>
          <cell r="D21">
            <v>0</v>
          </cell>
          <cell r="E21">
            <v>2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954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2145</v>
          </cell>
          <cell r="C23">
            <v>3</v>
          </cell>
          <cell r="D23">
            <v>3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2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2028</v>
          </cell>
          <cell r="C24">
            <v>2</v>
          </cell>
          <cell r="D24">
            <v>0</v>
          </cell>
          <cell r="E24">
            <v>2</v>
          </cell>
          <cell r="F24">
            <v>1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1953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1686</v>
          </cell>
          <cell r="C26">
            <v>2</v>
          </cell>
          <cell r="D26">
            <v>0</v>
          </cell>
          <cell r="E26">
            <v>2</v>
          </cell>
          <cell r="F26">
            <v>1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2241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1377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2018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2059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1236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2244</v>
          </cell>
          <cell r="C33">
            <v>4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V33">
            <v>0</v>
          </cell>
          <cell r="W33">
            <v>0</v>
          </cell>
          <cell r="X33">
            <v>0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969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1786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625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1101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1791</v>
          </cell>
          <cell r="C38">
            <v>4</v>
          </cell>
          <cell r="D38">
            <v>0</v>
          </cell>
          <cell r="E38">
            <v>4</v>
          </cell>
          <cell r="F38">
            <v>1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48410</v>
          </cell>
          <cell r="C39">
            <v>43</v>
          </cell>
          <cell r="D39">
            <v>15</v>
          </cell>
          <cell r="E39">
            <v>28</v>
          </cell>
          <cell r="F39">
            <v>19</v>
          </cell>
          <cell r="G39">
            <v>3</v>
          </cell>
          <cell r="H39">
            <v>17</v>
          </cell>
          <cell r="I39">
            <v>6</v>
          </cell>
          <cell r="J39">
            <v>6</v>
          </cell>
          <cell r="K39">
            <v>3</v>
          </cell>
          <cell r="L39">
            <v>2</v>
          </cell>
          <cell r="M39">
            <v>3</v>
          </cell>
          <cell r="N39">
            <v>0</v>
          </cell>
          <cell r="O39">
            <v>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26</v>
          </cell>
          <cell r="V39">
            <v>3</v>
          </cell>
          <cell r="W39">
            <v>8</v>
          </cell>
          <cell r="X39">
            <v>0</v>
          </cell>
          <cell r="Y39">
            <v>7</v>
          </cell>
          <cell r="Z39">
            <v>1</v>
          </cell>
          <cell r="AA39">
            <v>1</v>
          </cell>
          <cell r="AB39">
            <v>4</v>
          </cell>
          <cell r="AC39">
            <v>2</v>
          </cell>
          <cell r="AD39">
            <v>0</v>
          </cell>
          <cell r="AE39">
            <v>3</v>
          </cell>
          <cell r="AF39">
            <v>1</v>
          </cell>
          <cell r="AG39">
            <v>0</v>
          </cell>
          <cell r="AH39">
            <v>1</v>
          </cell>
          <cell r="AI39">
            <v>1</v>
          </cell>
          <cell r="AJ39">
            <v>0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2</v>
          </cell>
          <cell r="I16">
            <v>0</v>
          </cell>
          <cell r="J16">
            <v>2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2</v>
          </cell>
          <cell r="H39">
            <v>13</v>
          </cell>
          <cell r="I39">
            <v>0</v>
          </cell>
          <cell r="J39">
            <v>9</v>
          </cell>
          <cell r="K39">
            <v>7</v>
          </cell>
          <cell r="L39">
            <v>5</v>
          </cell>
          <cell r="M39">
            <v>0</v>
          </cell>
          <cell r="N39">
            <v>0</v>
          </cell>
          <cell r="O39">
            <v>8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2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0</v>
          </cell>
          <cell r="H39">
            <v>8</v>
          </cell>
          <cell r="I39">
            <v>0</v>
          </cell>
          <cell r="J39">
            <v>9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809</v>
          </cell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771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1460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663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2654</v>
          </cell>
          <cell r="C11">
            <v>4</v>
          </cell>
          <cell r="D11">
            <v>3</v>
          </cell>
          <cell r="E11">
            <v>1</v>
          </cell>
          <cell r="F11">
            <v>3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0</v>
          </cell>
          <cell r="U11">
            <v>3</v>
          </cell>
          <cell r="V11">
            <v>0</v>
          </cell>
          <cell r="W11">
            <v>1</v>
          </cell>
          <cell r="X11">
            <v>0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999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988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668</v>
          </cell>
          <cell r="C14">
            <v>1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1638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2474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1366</v>
          </cell>
          <cell r="C17">
            <v>1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749</v>
          </cell>
          <cell r="C18">
            <v>2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2039</v>
          </cell>
          <cell r="C20">
            <v>2</v>
          </cell>
          <cell r="D20">
            <v>0</v>
          </cell>
          <cell r="E20">
            <v>2</v>
          </cell>
          <cell r="F20">
            <v>2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525</v>
          </cell>
          <cell r="C21">
            <v>2</v>
          </cell>
          <cell r="D21">
            <v>0</v>
          </cell>
          <cell r="E21">
            <v>2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784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1894</v>
          </cell>
          <cell r="C23">
            <v>2</v>
          </cell>
          <cell r="D23">
            <v>0</v>
          </cell>
          <cell r="E23">
            <v>2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1997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1367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1725</v>
          </cell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2255</v>
          </cell>
          <cell r="C27">
            <v>2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1786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1812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991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2203</v>
          </cell>
          <cell r="C33">
            <v>3</v>
          </cell>
          <cell r="D33">
            <v>1</v>
          </cell>
          <cell r="E33">
            <v>2</v>
          </cell>
          <cell r="F33">
            <v>1</v>
          </cell>
          <cell r="G33">
            <v>0</v>
          </cell>
          <cell r="H33">
            <v>2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924</v>
          </cell>
          <cell r="C34">
            <v>2</v>
          </cell>
          <cell r="D34">
            <v>1</v>
          </cell>
          <cell r="E34">
            <v>1</v>
          </cell>
          <cell r="F34">
            <v>1</v>
          </cell>
          <cell r="G34">
            <v>0</v>
          </cell>
          <cell r="H34">
            <v>1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1922</v>
          </cell>
          <cell r="C35">
            <v>4</v>
          </cell>
          <cell r="D35">
            <v>1</v>
          </cell>
          <cell r="E35">
            <v>3</v>
          </cell>
          <cell r="F35">
            <v>1</v>
          </cell>
          <cell r="G35">
            <v>0</v>
          </cell>
          <cell r="H35">
            <v>2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596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918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1681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43868</v>
          </cell>
          <cell r="C39">
            <v>31</v>
          </cell>
          <cell r="D39">
            <v>10</v>
          </cell>
          <cell r="E39">
            <v>21</v>
          </cell>
          <cell r="F39">
            <v>14</v>
          </cell>
          <cell r="G39">
            <v>0</v>
          </cell>
          <cell r="H39">
            <v>18</v>
          </cell>
          <cell r="I39">
            <v>0</v>
          </cell>
          <cell r="J39">
            <v>8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13</v>
          </cell>
          <cell r="V39">
            <v>0</v>
          </cell>
          <cell r="W39">
            <v>8</v>
          </cell>
          <cell r="X39">
            <v>0</v>
          </cell>
          <cell r="Y39">
            <v>2</v>
          </cell>
          <cell r="Z39">
            <v>2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733" zoomScale="85" zoomScaleNormal="85" zoomScaleSheetLayoutView="75" workbookViewId="0">
      <selection activeCell="U1407" sqref="U1407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2" width="9.33203125" style="24" bestFit="1" customWidth="1"/>
    <col min="13" max="13" width="12.6640625" style="24" customWidth="1"/>
    <col min="14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9" t="s">
        <v>39</v>
      </c>
      <c r="C1" s="160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2" t="s">
        <v>104</v>
      </c>
    </row>
    <row r="2" spans="2:18" ht="16.5" thickBot="1" x14ac:dyDescent="0.3">
      <c r="B2" s="151" t="s">
        <v>75</v>
      </c>
      <c r="C2" s="152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3"/>
    </row>
    <row r="3" spans="2:18" ht="12.75" customHeight="1" thickBot="1" x14ac:dyDescent="0.25">
      <c r="B3" s="153" t="s">
        <v>38</v>
      </c>
      <c r="C3" s="154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711</v>
      </c>
      <c r="H3" s="43">
        <f>VLOOKUP($B2,[5]Complaints!$A$4:$AJ$39,2)</f>
        <v>867</v>
      </c>
      <c r="I3" s="43">
        <f>VLOOKUP($B2,[6]Complaints!$A$4:$AJ$39,2)</f>
        <v>1018</v>
      </c>
      <c r="J3" s="43">
        <f>VLOOKUP($B2,[7]Complaints!$A$4:$AJ$39,2)</f>
        <v>927</v>
      </c>
      <c r="K3" s="43">
        <f>VLOOKUP($B2,[8]Complaints!$A$4:$AJ$39,2)</f>
        <v>927</v>
      </c>
      <c r="L3" s="43">
        <f>VLOOKUP($B2,[9]Complaints!$A$4:$AJ$39,2)</f>
        <v>771</v>
      </c>
      <c r="M3" s="43">
        <f>VLOOKUP($B2,[10]Complaints!$A$4:$AJ$39,2)</f>
        <v>450</v>
      </c>
      <c r="N3" s="43">
        <f>VLOOKUP($B2,[11]Complaints!$A$4:$AJ$39,2)</f>
        <v>539</v>
      </c>
      <c r="O3" s="44">
        <f>VLOOKUP($B2,[12]Complaints!$A$4:$AJ$39,2)</f>
        <v>0</v>
      </c>
      <c r="P3" s="45">
        <f>SUM(D3:O3)</f>
        <v>7056</v>
      </c>
      <c r="Q3" s="46"/>
      <c r="R3" s="18"/>
    </row>
    <row r="4" spans="2:18" ht="15.75" customHeight="1" x14ac:dyDescent="0.2">
      <c r="B4" s="155" t="s">
        <v>94</v>
      </c>
      <c r="C4" s="156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1</v>
      </c>
      <c r="H4" s="48">
        <f>VLOOKUP($B2,[5]Complaints!$A$4:$AG$39,3,)</f>
        <v>0</v>
      </c>
      <c r="I4" s="48">
        <f>VLOOKUP($B2,[6]Complaints!$A$4:$AG$39,3,)</f>
        <v>1</v>
      </c>
      <c r="J4" s="48">
        <f>VLOOKUP($B2,[7]Complaints!$A$4:$AG$39,3,)</f>
        <v>1</v>
      </c>
      <c r="K4" s="48">
        <f>VLOOKUP($B2,[8]Complaints!$A$4:$AG$39,3,)</f>
        <v>1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1</v>
      </c>
      <c r="O4" s="49">
        <f>VLOOKUP($B2,[12]Complaints!$A$4:$AG$39,3,)</f>
        <v>0</v>
      </c>
      <c r="P4" s="45">
        <f>SUM(D4:O4)</f>
        <v>5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>
        <f t="shared" si="0"/>
        <v>1.4064697609001407E-3</v>
      </c>
      <c r="H5" s="52">
        <f t="shared" si="0"/>
        <v>0</v>
      </c>
      <c r="I5" s="52">
        <f t="shared" si="0"/>
        <v>9.8231827111984276E-4</v>
      </c>
      <c r="J5" s="52">
        <f t="shared" si="0"/>
        <v>1.0787486515641855E-3</v>
      </c>
      <c r="K5" s="52">
        <f t="shared" si="0"/>
        <v>1.0787486515641855E-3</v>
      </c>
      <c r="L5" s="52">
        <f t="shared" si="0"/>
        <v>0</v>
      </c>
      <c r="M5" s="52">
        <f t="shared" si="0"/>
        <v>0</v>
      </c>
      <c r="N5" s="52">
        <f t="shared" si="0"/>
        <v>1.8552875695732839E-3</v>
      </c>
      <c r="O5" s="53" t="str">
        <f t="shared" si="0"/>
        <v/>
      </c>
      <c r="P5" s="54">
        <f>IF(P4="","",P4/P3)</f>
        <v>7.0861678004535147E-4</v>
      </c>
      <c r="Q5" s="50"/>
      <c r="R5" s="18"/>
    </row>
    <row r="6" spans="2:18" s="21" customFormat="1" ht="15.75" customHeight="1" x14ac:dyDescent="0.2">
      <c r="B6" s="157" t="s">
        <v>95</v>
      </c>
      <c r="C6" s="158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53" t="str">
        <f t="shared" si="2"/>
        <v/>
      </c>
      <c r="P7" s="54">
        <f>IF(P6="","",P6/P3)</f>
        <v>0</v>
      </c>
      <c r="Q7" s="50"/>
      <c r="R7" s="18"/>
    </row>
    <row r="8" spans="2:18" ht="15.75" customHeight="1" x14ac:dyDescent="0.2">
      <c r="B8" s="157" t="s">
        <v>96</v>
      </c>
      <c r="C8" s="158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1</v>
      </c>
      <c r="H8" s="48">
        <f>VLOOKUP($B2,[5]Complaints!$A$4:$AG$39,5,)</f>
        <v>0</v>
      </c>
      <c r="I8" s="48">
        <f>VLOOKUP($B2,[6]Complaints!$A$4:$AG$39,5,)</f>
        <v>1</v>
      </c>
      <c r="J8" s="48">
        <f>VLOOKUP($B2,[7]Complaints!$A$4:$AG$39,5,)</f>
        <v>1</v>
      </c>
      <c r="K8" s="48">
        <f>VLOOKUP($B2,[8]Complaints!$A$4:$AG$39,5,)</f>
        <v>1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1</v>
      </c>
      <c r="O8" s="49">
        <f>VLOOKUP($B2,[12]Complaints!$A$4:$AG$39,5,)</f>
        <v>0</v>
      </c>
      <c r="P8" s="55">
        <f t="shared" si="1"/>
        <v>5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>
        <f t="shared" si="3"/>
        <v>1.4064697609001407E-3</v>
      </c>
      <c r="H9" s="52">
        <f t="shared" si="3"/>
        <v>0</v>
      </c>
      <c r="I9" s="52">
        <f t="shared" si="3"/>
        <v>9.8231827111984276E-4</v>
      </c>
      <c r="J9" s="52">
        <f t="shared" si="3"/>
        <v>1.0787486515641855E-3</v>
      </c>
      <c r="K9" s="52">
        <f t="shared" si="3"/>
        <v>1.0787486515641855E-3</v>
      </c>
      <c r="L9" s="52">
        <f t="shared" si="3"/>
        <v>0</v>
      </c>
      <c r="M9" s="52">
        <f t="shared" si="3"/>
        <v>0</v>
      </c>
      <c r="N9" s="52">
        <f t="shared" si="3"/>
        <v>1.8552875695732839E-3</v>
      </c>
      <c r="O9" s="53" t="str">
        <f t="shared" si="3"/>
        <v/>
      </c>
      <c r="P9" s="54">
        <f>IF(P8="","",P8/P3)</f>
        <v>7.0861678004535147E-4</v>
      </c>
      <c r="Q9" s="50"/>
      <c r="R9" s="18"/>
    </row>
    <row r="10" spans="2:18" ht="15.75" customHeight="1" x14ac:dyDescent="0.2">
      <c r="B10" s="161" t="s">
        <v>97</v>
      </c>
      <c r="C10" s="158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1</v>
      </c>
      <c r="H10" s="48">
        <f>VLOOKUP($B2,[5]Complaints!$A$4:$AG$39,6,)</f>
        <v>0</v>
      </c>
      <c r="I10" s="48">
        <f>VLOOKUP($B2,[6]Complaints!$A$4:$AG$39,6,)</f>
        <v>1</v>
      </c>
      <c r="J10" s="48">
        <f>VLOOKUP($B2,[7]Complaints!$A$4:$AG$39,6,)</f>
        <v>1</v>
      </c>
      <c r="K10" s="48">
        <f>VLOOKUP($B2,[8]Complaints!$A$4:$AG$39,6,)</f>
        <v>1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4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>
        <f t="shared" si="4"/>
        <v>1</v>
      </c>
      <c r="H11" s="57" t="str">
        <f t="shared" si="4"/>
        <v/>
      </c>
      <c r="I11" s="57">
        <f>IF(I10=0,"",I10/I8)</f>
        <v>1</v>
      </c>
      <c r="J11" s="57">
        <f t="shared" si="4"/>
        <v>1</v>
      </c>
      <c r="K11" s="57">
        <f t="shared" si="4"/>
        <v>1</v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>
        <f>IF(P10=0,"",P10/P8)</f>
        <v>0.8</v>
      </c>
      <c r="Q11" s="60"/>
      <c r="R11" s="18"/>
    </row>
    <row r="12" spans="2:18" ht="15.75" customHeight="1" x14ac:dyDescent="0.2">
      <c r="B12" s="14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4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1</v>
      </c>
      <c r="O13" s="49">
        <f>VLOOKUP($B2,[12]Complaints!$A$4:$AJ$39,8,)</f>
        <v>0</v>
      </c>
      <c r="P13" s="55">
        <f t="shared" ref="P13:P25" si="5">SUM(D13:O13)</f>
        <v>1</v>
      </c>
      <c r="Q13" s="50"/>
      <c r="R13" s="18"/>
    </row>
    <row r="14" spans="2:18" ht="15.75" customHeight="1" x14ac:dyDescent="0.2">
      <c r="B14" s="14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4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4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1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1</v>
      </c>
      <c r="Q16" s="50">
        <f>IF(P16=0,"",P16/$P4)</f>
        <v>0.2</v>
      </c>
      <c r="R16" s="18"/>
    </row>
    <row r="17" spans="1:19" s="19" customFormat="1" ht="15.75" customHeight="1" x14ac:dyDescent="0.2">
      <c r="B17" s="14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1</v>
      </c>
      <c r="H17" s="48">
        <f>VLOOKUP($B2,[5]Complaints!$A$4:$AJ$39,12,)</f>
        <v>0</v>
      </c>
      <c r="I17" s="48">
        <f>VLOOKUP($B2,[6]Complaints!$A$4:$AJ$39,12,)</f>
        <v>1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2</v>
      </c>
      <c r="Q17" s="50">
        <f>IF(P17=0,"",P17/$P4)</f>
        <v>0.4</v>
      </c>
    </row>
    <row r="18" spans="1:19" ht="15.75" customHeight="1" x14ac:dyDescent="0.2">
      <c r="B18" s="14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4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4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4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4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4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4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5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1</v>
      </c>
      <c r="H26" s="63">
        <f>VLOOKUP($B2,[5]Complaints!$A$4:$AJ$39,21,)</f>
        <v>0</v>
      </c>
      <c r="I26" s="63">
        <f>VLOOKUP($B2,[6]Complaints!$A$4:$AJ$39,21,)</f>
        <v>1</v>
      </c>
      <c r="J26" s="63">
        <f>VLOOKUP($B2,[7]Complaints!$A$4:$AJ$39,21,)</f>
        <v>1</v>
      </c>
      <c r="K26" s="63">
        <f>VLOOKUP($B2,[8]Complaints!$A$4:$AJ$39,21,)</f>
        <v>1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4</v>
      </c>
      <c r="Q26" s="46">
        <f>IF(P26=0,"",P26/$P10)</f>
        <v>1</v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1</v>
      </c>
      <c r="K32" s="72">
        <f>VLOOKUP($B2,[8]Complaints!$A$4:$AJ$39,27,)</f>
        <v>1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2</v>
      </c>
      <c r="Q32" s="70">
        <f>IF(P32=0,"",P32/$P10)</f>
        <v>0.5</v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1</v>
      </c>
      <c r="H33" s="72">
        <f>VLOOKUP($B2,[5]Complaints!$A$4:$AJ$39,28,)</f>
        <v>0</v>
      </c>
      <c r="I33" s="72">
        <f>VLOOKUP($B2,[6]Complaints!$A$4:$AJ$39,28,)</f>
        <v>1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2</v>
      </c>
      <c r="Q33" s="70">
        <f>IF(P33=0,"",P33/$P10)</f>
        <v>0.5</v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9" t="s">
        <v>45</v>
      </c>
      <c r="C43" s="160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2" t="s">
        <v>104</v>
      </c>
    </row>
    <row r="44" spans="2:18" ht="15.75" customHeight="1" thickBot="1" x14ac:dyDescent="0.3">
      <c r="B44" s="151" t="s">
        <v>74</v>
      </c>
      <c r="C44" s="152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3"/>
    </row>
    <row r="45" spans="2:18" ht="12.75" customHeight="1" thickBot="1" x14ac:dyDescent="0.25">
      <c r="B45" s="153" t="s">
        <v>38</v>
      </c>
      <c r="C45" s="154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767</v>
      </c>
      <c r="H45" s="43">
        <f>VLOOKUP($B44,[5]Complaints!$A$4:$AJ$39,2,)</f>
        <v>757</v>
      </c>
      <c r="I45" s="43">
        <f>VLOOKUP($B44,[6]Complaints!$A$4:$AJ$39,2,)</f>
        <v>936</v>
      </c>
      <c r="J45" s="43">
        <f>VLOOKUP($B44,[7]Complaints!$A$4:$AJ$39,2,)</f>
        <v>966</v>
      </c>
      <c r="K45" s="43">
        <f>VLOOKUP($B44,[8]Complaints!$A$4:$AJ$39,2,)</f>
        <v>966</v>
      </c>
      <c r="L45" s="43">
        <f>VLOOKUP($B44,[9]Complaints!$A$4:$AJ$39,2,)</f>
        <v>809</v>
      </c>
      <c r="M45" s="43">
        <f>VLOOKUP($B44,[10]Complaints!$A$4:$AJ$39,2,)</f>
        <v>606</v>
      </c>
      <c r="N45" s="43">
        <f>VLOOKUP($B44,[11]Complaints!$A$4:$AJ$39,2,)</f>
        <v>591</v>
      </c>
      <c r="O45" s="43">
        <f>VLOOKUP($B44,[12]Complaints!$A$4:$AJ$39,2,)</f>
        <v>0</v>
      </c>
      <c r="P45" s="45">
        <f>SUM(D45:O45)</f>
        <v>7410</v>
      </c>
      <c r="Q45" s="46"/>
      <c r="R45" s="18"/>
    </row>
    <row r="46" spans="2:18" ht="15.75" customHeight="1" x14ac:dyDescent="0.2">
      <c r="B46" s="155" t="s">
        <v>94</v>
      </c>
      <c r="C46" s="156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1</v>
      </c>
      <c r="I46" s="48">
        <f>VLOOKUP($B44,[6]Complaints!$A$4:$AG$39,3,)</f>
        <v>0</v>
      </c>
      <c r="J46" s="48">
        <f>VLOOKUP($B44,[7]Complaints!$A$4:$AG$39,3,)</f>
        <v>2</v>
      </c>
      <c r="K46" s="48">
        <f>VLOOKUP($B44,[8]Complaints!$A$4:$AG$39,3,)</f>
        <v>2</v>
      </c>
      <c r="L46" s="48">
        <f>VLOOKUP($B44,[9]Complaints!$A$4:$AG$39,3,)</f>
        <v>1</v>
      </c>
      <c r="M46" s="48">
        <f>VLOOKUP($B44,[10]Complaints!$A$4:$AG$39,3,)</f>
        <v>0</v>
      </c>
      <c r="N46" s="48">
        <f>VLOOKUP($B44,[11]Complaints!$A$4:$AG$39,3,)</f>
        <v>1</v>
      </c>
      <c r="O46" s="49">
        <f>VLOOKUP($B44,[12]Complaints!$A$4:$AG$39,3,)</f>
        <v>0</v>
      </c>
      <c r="P46" s="45">
        <f>SUM(D46:O46)</f>
        <v>7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>
        <f t="shared" si="8"/>
        <v>0</v>
      </c>
      <c r="H47" s="52">
        <f t="shared" si="8"/>
        <v>1.321003963011889E-3</v>
      </c>
      <c r="I47" s="52">
        <f t="shared" si="8"/>
        <v>0</v>
      </c>
      <c r="J47" s="52">
        <f t="shared" si="8"/>
        <v>2.070393374741201E-3</v>
      </c>
      <c r="K47" s="52">
        <f t="shared" si="8"/>
        <v>2.070393374741201E-3</v>
      </c>
      <c r="L47" s="52">
        <f t="shared" si="8"/>
        <v>1.2360939431396785E-3</v>
      </c>
      <c r="M47" s="52">
        <f t="shared" si="8"/>
        <v>0</v>
      </c>
      <c r="N47" s="52">
        <f t="shared" si="8"/>
        <v>1.6920473773265651E-3</v>
      </c>
      <c r="O47" s="53" t="str">
        <f t="shared" si="8"/>
        <v/>
      </c>
      <c r="P47" s="54">
        <f>IF(P46="","",P46/P45)</f>
        <v>9.4466936572199726E-4</v>
      </c>
      <c r="Q47" s="50"/>
      <c r="R47" s="18"/>
    </row>
    <row r="48" spans="2:18" s="21" customFormat="1" ht="15.75" customHeight="1" x14ac:dyDescent="0.2">
      <c r="B48" s="157" t="s">
        <v>95</v>
      </c>
      <c r="C48" s="158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1</v>
      </c>
      <c r="K48" s="48">
        <f>VLOOKUP($B44,[8]Complaints!$A$4:$AG$39,4,)</f>
        <v>1</v>
      </c>
      <c r="L48" s="48">
        <f>VLOOKUP($B44,[9]Complaints!$A$4:$AG$39,4,)</f>
        <v>1</v>
      </c>
      <c r="M48" s="48">
        <f>VLOOKUP($B44,[10]Complaints!$A$4:$AG$39,4,)</f>
        <v>0</v>
      </c>
      <c r="N48" s="48">
        <f>VLOOKUP($B44,[11]Complaints!$A$4:$AG$39,4,)</f>
        <v>1</v>
      </c>
      <c r="O48" s="49">
        <f>VLOOKUP($B44,[12]Complaints!$A$4:$AG$39,4,)</f>
        <v>0</v>
      </c>
      <c r="P48" s="55">
        <f t="shared" ref="P48" si="9">SUM(D48:O48)</f>
        <v>4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>
        <f t="shared" si="10"/>
        <v>0</v>
      </c>
      <c r="H49" s="52">
        <f t="shared" si="10"/>
        <v>0</v>
      </c>
      <c r="I49" s="52">
        <f t="shared" si="10"/>
        <v>0</v>
      </c>
      <c r="J49" s="52">
        <f t="shared" si="10"/>
        <v>1.0351966873706005E-3</v>
      </c>
      <c r="K49" s="52">
        <f t="shared" si="10"/>
        <v>1.0351966873706005E-3</v>
      </c>
      <c r="L49" s="52">
        <f t="shared" si="10"/>
        <v>1.2360939431396785E-3</v>
      </c>
      <c r="M49" s="52">
        <f t="shared" si="10"/>
        <v>0</v>
      </c>
      <c r="N49" s="52">
        <f t="shared" si="10"/>
        <v>1.6920473773265651E-3</v>
      </c>
      <c r="O49" s="53" t="str">
        <f t="shared" si="10"/>
        <v/>
      </c>
      <c r="P49" s="54">
        <f>IF(P48="","",P48/P45)</f>
        <v>5.3981106612685558E-4</v>
      </c>
      <c r="Q49" s="50"/>
      <c r="R49" s="18"/>
    </row>
    <row r="50" spans="2:18" ht="15.75" customHeight="1" x14ac:dyDescent="0.2">
      <c r="B50" s="157" t="s">
        <v>96</v>
      </c>
      <c r="C50" s="158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1</v>
      </c>
      <c r="I50" s="48">
        <f>VLOOKUP($B44,[6]Complaints!$A$4:$AG$39,5,)</f>
        <v>0</v>
      </c>
      <c r="J50" s="48">
        <f>VLOOKUP($B44,[7]Complaints!$A$4:$AG$39,5,)</f>
        <v>1</v>
      </c>
      <c r="K50" s="48">
        <f>VLOOKUP($B44,[8]Complaints!$A$4:$AG$39,5,)</f>
        <v>1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3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>
        <f t="shared" si="12"/>
        <v>0</v>
      </c>
      <c r="H51" s="52">
        <f t="shared" si="12"/>
        <v>1.321003963011889E-3</v>
      </c>
      <c r="I51" s="52">
        <f t="shared" si="12"/>
        <v>0</v>
      </c>
      <c r="J51" s="52">
        <f t="shared" si="12"/>
        <v>1.0351966873706005E-3</v>
      </c>
      <c r="K51" s="52">
        <f t="shared" si="12"/>
        <v>1.0351966873706005E-3</v>
      </c>
      <c r="L51" s="52">
        <f t="shared" si="12"/>
        <v>0</v>
      </c>
      <c r="M51" s="52">
        <f t="shared" si="12"/>
        <v>0</v>
      </c>
      <c r="N51" s="52">
        <f t="shared" si="12"/>
        <v>0</v>
      </c>
      <c r="O51" s="53" t="str">
        <f t="shared" si="12"/>
        <v/>
      </c>
      <c r="P51" s="54">
        <f>IF(P50="","",P50/P45)</f>
        <v>4.0485829959514168E-4</v>
      </c>
      <c r="Q51" s="50"/>
      <c r="R51" s="18"/>
    </row>
    <row r="52" spans="2:18" ht="15.75" customHeight="1" x14ac:dyDescent="0.2">
      <c r="B52" s="161" t="s">
        <v>97</v>
      </c>
      <c r="C52" s="158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1</v>
      </c>
      <c r="I52" s="48">
        <f>VLOOKUP($B44,[6]Complaints!$A$4:$AG$39,6,)</f>
        <v>0</v>
      </c>
      <c r="J52" s="48">
        <f>VLOOKUP($B44,[7]Complaints!$A$4:$AG$39,6,)</f>
        <v>1</v>
      </c>
      <c r="K52" s="48">
        <f>VLOOKUP($B44,[8]Complaints!$A$4:$AG$39,6,)</f>
        <v>1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3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>
        <f t="shared" si="14"/>
        <v>1</v>
      </c>
      <c r="I53" s="57" t="str">
        <f>IF(I52=0,"",I52/I50)</f>
        <v/>
      </c>
      <c r="J53" s="57">
        <f t="shared" ref="J53:O53" si="15">IF(J52=0,"",J52/J50)</f>
        <v>1</v>
      </c>
      <c r="K53" s="57">
        <f t="shared" si="15"/>
        <v>1</v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>
        <f>IF(P52=0,"",P52/P50)</f>
        <v>1</v>
      </c>
      <c r="Q53" s="60"/>
      <c r="R53" s="18"/>
    </row>
    <row r="54" spans="2:18" ht="15.75" customHeight="1" x14ac:dyDescent="0.2">
      <c r="B54" s="14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4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1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1</v>
      </c>
      <c r="Q55" s="50">
        <f>IF(P55="","",P55/$P46)</f>
        <v>0.14285714285714285</v>
      </c>
      <c r="R55" s="18"/>
    </row>
    <row r="56" spans="2:18" ht="15.75" customHeight="1" x14ac:dyDescent="0.2">
      <c r="B56" s="14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4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1</v>
      </c>
      <c r="M57" s="48">
        <f>VLOOKUP($B44,[10]Complaints!$A$4:$AJ$39,10,)</f>
        <v>0</v>
      </c>
      <c r="N57" s="48">
        <f>VLOOKUP($B44,[11]Complaints!$A$4:$AJ$39,10,)</f>
        <v>1</v>
      </c>
      <c r="O57" s="49">
        <f>VLOOKUP($B44,[12]Complaints!$A$4:$AJ$39,10,)</f>
        <v>0</v>
      </c>
      <c r="P57" s="55">
        <f>SUM(D57:O57)</f>
        <v>2</v>
      </c>
      <c r="Q57" s="50">
        <f>IF(P57=0,"",P57/$P46)</f>
        <v>0.2857142857142857</v>
      </c>
      <c r="R57" s="18"/>
    </row>
    <row r="58" spans="2:18" ht="15.75" customHeight="1" x14ac:dyDescent="0.2">
      <c r="B58" s="14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4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1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1</v>
      </c>
      <c r="Q59" s="50">
        <f>IF(P59=0,"",P59/$P46)</f>
        <v>0.14285714285714285</v>
      </c>
    </row>
    <row r="60" spans="2:18" ht="15.75" customHeight="1" x14ac:dyDescent="0.2">
      <c r="B60" s="14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4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4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4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1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1</v>
      </c>
      <c r="Q63" s="50">
        <f>IF(P63=0,"",P63/$P46)</f>
        <v>0.14285714285714285</v>
      </c>
      <c r="R63" s="18"/>
    </row>
    <row r="64" spans="2:18" ht="15.75" customHeight="1" x14ac:dyDescent="0.2">
      <c r="B64" s="14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4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4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5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1</v>
      </c>
      <c r="I68" s="63">
        <f>VLOOKUP($B44,[6]Complaints!$A$4:$AJ$39,21,)</f>
        <v>0</v>
      </c>
      <c r="J68" s="63">
        <f>VLOOKUP($B44,[7]Complaints!$A$4:$AJ$39,21,)</f>
        <v>1</v>
      </c>
      <c r="K68" s="63">
        <f>VLOOKUP($B44,[8]Complaints!$A$4:$AJ$39,21,)</f>
        <v>1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3</v>
      </c>
      <c r="Q68" s="46">
        <f>IF(P68=0,"",P68/$P52)</f>
        <v>1</v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1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1</v>
      </c>
      <c r="Q70" s="70">
        <f>IF(P70=0,"",P70/$P52)</f>
        <v>0.33333333333333331</v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1</v>
      </c>
      <c r="K75" s="72">
        <f>VLOOKUP($B44,[8]Complaints!$A$4:$AJ$39,28,)</f>
        <v>1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2</v>
      </c>
      <c r="Q75" s="70">
        <f>IF(P75=0,"",P75/$P52)</f>
        <v>0.66666666666666663</v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9" t="s">
        <v>14</v>
      </c>
      <c r="C85" s="160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2" t="s">
        <v>104</v>
      </c>
      <c r="R85" s="18"/>
    </row>
    <row r="86" spans="2:18" ht="15.75" customHeight="1" thickBot="1" x14ac:dyDescent="0.3">
      <c r="B86" s="151" t="s">
        <v>73</v>
      </c>
      <c r="C86" s="152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3"/>
      <c r="R86" s="18"/>
    </row>
    <row r="87" spans="2:18" ht="12.75" customHeight="1" thickBot="1" x14ac:dyDescent="0.25">
      <c r="B87" s="153" t="s">
        <v>38</v>
      </c>
      <c r="C87" s="154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329</v>
      </c>
      <c r="H87" s="43">
        <f>VLOOKUP($B86,[5]Complaints!$A$4:$AJ$39,2)</f>
        <v>459</v>
      </c>
      <c r="I87" s="43">
        <f>VLOOKUP($B86,[6]Complaints!$A$4:$AJ$39,2)</f>
        <v>519</v>
      </c>
      <c r="J87" s="43">
        <f>VLOOKUP($B86,[7]Complaints!$A$4:$AJ$39,2)</f>
        <v>435</v>
      </c>
      <c r="K87" s="43">
        <f>VLOOKUP($B86,[8]Complaints!$A$4:$AJ$39,2)</f>
        <v>435</v>
      </c>
      <c r="L87" s="43">
        <f>VLOOKUP($B86,[9]Complaints!$A$4:$AJ$39,2)</f>
        <v>378</v>
      </c>
      <c r="M87" s="43">
        <f>VLOOKUP($B86,[10]Complaints!$A$4:$AJ$39,2)</f>
        <v>224</v>
      </c>
      <c r="N87" s="43">
        <f>VLOOKUP($B86,[11]Complaints!$A$4:$AJ$39,2)</f>
        <v>237</v>
      </c>
      <c r="O87" s="44">
        <f>VLOOKUP($B86,[12]Complaints!$A$4:$AJ$39,2)</f>
        <v>0</v>
      </c>
      <c r="P87" s="45">
        <f>SUM(D87:O87)</f>
        <v>3347</v>
      </c>
      <c r="Q87" s="46"/>
      <c r="R87" s="18"/>
    </row>
    <row r="88" spans="2:18" ht="15.75" customHeight="1" x14ac:dyDescent="0.2">
      <c r="B88" s="155" t="s">
        <v>94</v>
      </c>
      <c r="C88" s="156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>
        <f t="shared" si="19"/>
        <v>0</v>
      </c>
      <c r="H89" s="52">
        <f t="shared" si="19"/>
        <v>0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3" t="str">
        <f t="shared" si="19"/>
        <v/>
      </c>
      <c r="P89" s="54">
        <f>IF(P88="","",P88/P87)</f>
        <v>2.9877502240812666E-4</v>
      </c>
      <c r="Q89" s="50"/>
      <c r="R89" s="18"/>
    </row>
    <row r="90" spans="2:18" s="21" customFormat="1" ht="15.75" customHeight="1" x14ac:dyDescent="0.2">
      <c r="B90" s="157" t="s">
        <v>95</v>
      </c>
      <c r="C90" s="158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>
        <f t="shared" si="21"/>
        <v>0</v>
      </c>
      <c r="H91" s="52">
        <f t="shared" si="21"/>
        <v>0</v>
      </c>
      <c r="I91" s="52">
        <f t="shared" si="21"/>
        <v>0</v>
      </c>
      <c r="J91" s="52">
        <f t="shared" si="21"/>
        <v>0</v>
      </c>
      <c r="K91" s="52">
        <f t="shared" si="21"/>
        <v>0</v>
      </c>
      <c r="L91" s="52">
        <f t="shared" si="21"/>
        <v>0</v>
      </c>
      <c r="M91" s="52">
        <f t="shared" si="21"/>
        <v>0</v>
      </c>
      <c r="N91" s="52">
        <f t="shared" si="21"/>
        <v>0</v>
      </c>
      <c r="O91" s="53" t="str">
        <f t="shared" si="21"/>
        <v/>
      </c>
      <c r="P91" s="54">
        <f>IF(P90="","",P90/P87)</f>
        <v>2.9877502240812666E-4</v>
      </c>
      <c r="Q91" s="50"/>
      <c r="R91" s="18"/>
    </row>
    <row r="92" spans="2:18" ht="15.75" customHeight="1" x14ac:dyDescent="0.2">
      <c r="B92" s="157" t="s">
        <v>96</v>
      </c>
      <c r="C92" s="158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>
        <f t="shared" si="23"/>
        <v>0</v>
      </c>
      <c r="H93" s="52">
        <f t="shared" si="23"/>
        <v>0</v>
      </c>
      <c r="I93" s="52">
        <f t="shared" si="23"/>
        <v>0</v>
      </c>
      <c r="J93" s="52">
        <f t="shared" si="23"/>
        <v>0</v>
      </c>
      <c r="K93" s="52">
        <f t="shared" si="23"/>
        <v>0</v>
      </c>
      <c r="L93" s="52">
        <f t="shared" si="23"/>
        <v>0</v>
      </c>
      <c r="M93" s="52">
        <f t="shared" si="23"/>
        <v>0</v>
      </c>
      <c r="N93" s="52">
        <f t="shared" si="23"/>
        <v>0</v>
      </c>
      <c r="O93" s="53" t="str">
        <f t="shared" si="23"/>
        <v/>
      </c>
      <c r="P93" s="54">
        <f>IF(P92="","",P92/P87)</f>
        <v>0</v>
      </c>
      <c r="Q93" s="50"/>
      <c r="R93" s="18"/>
    </row>
    <row r="94" spans="2:18" ht="15.75" customHeight="1" x14ac:dyDescent="0.2">
      <c r="B94" s="161" t="s">
        <v>97</v>
      </c>
      <c r="C94" s="158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4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4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4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4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4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4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4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4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4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4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4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4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4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5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9" t="s">
        <v>15</v>
      </c>
      <c r="C127" s="160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2" t="s">
        <v>104</v>
      </c>
      <c r="R127" s="18"/>
    </row>
    <row r="128" spans="1:19" ht="15.75" customHeight="1" thickBot="1" x14ac:dyDescent="0.3">
      <c r="B128" s="151" t="s">
        <v>72</v>
      </c>
      <c r="C128" s="152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3"/>
      <c r="R128" s="18"/>
    </row>
    <row r="129" spans="2:18" ht="12.75" customHeight="1" thickBot="1" x14ac:dyDescent="0.25">
      <c r="B129" s="153" t="s">
        <v>38</v>
      </c>
      <c r="C129" s="154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1071</v>
      </c>
      <c r="H129" s="43">
        <f>VLOOKUP($B128,[5]Complaints!$A$4:$AJ$39,2)</f>
        <v>1323</v>
      </c>
      <c r="I129" s="43">
        <f>VLOOKUP($B128,[6]Complaints!$A$4:$AJ$39,2)</f>
        <v>1567</v>
      </c>
      <c r="J129" s="43">
        <f>VLOOKUP($B128,[7]Complaints!$A$4:$AJ$39,2)</f>
        <v>1524</v>
      </c>
      <c r="K129" s="43">
        <f>VLOOKUP($B128,[8]Complaints!$A$4:$AJ$39,2)</f>
        <v>1524</v>
      </c>
      <c r="L129" s="43">
        <f>VLOOKUP($B128,[9]Complaints!$A$4:$AJ$39,2)</f>
        <v>1460</v>
      </c>
      <c r="M129" s="43">
        <f>VLOOKUP($B128,[10]Complaints!$A$4:$AJ$39,2)</f>
        <v>1174</v>
      </c>
      <c r="N129" s="43">
        <f>VLOOKUP($B128,[11]Complaints!$A$4:$AJ$39,2)</f>
        <v>1227</v>
      </c>
      <c r="O129" s="44">
        <f>VLOOKUP($B128,[12]Complaints!$A$4:$AJ$39,2)</f>
        <v>0</v>
      </c>
      <c r="P129" s="45">
        <f>SUM(D129:O129)</f>
        <v>12268</v>
      </c>
      <c r="Q129" s="46"/>
      <c r="R129" s="18"/>
    </row>
    <row r="130" spans="2:18" ht="15.75" customHeight="1" x14ac:dyDescent="0.2">
      <c r="B130" s="155" t="s">
        <v>94</v>
      </c>
      <c r="C130" s="156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1</v>
      </c>
      <c r="I130" s="48">
        <f>VLOOKUP($B128,[6]Complaints!$A$4:$AG$39,3,)</f>
        <v>4</v>
      </c>
      <c r="J130" s="48">
        <f>VLOOKUP($B128,[7]Complaints!$A$4:$AG$39,3,)</f>
        <v>2</v>
      </c>
      <c r="K130" s="48">
        <f>VLOOKUP($B128,[8]Complaints!$A$4:$AG$39,3,)</f>
        <v>2</v>
      </c>
      <c r="L130" s="48">
        <f>VLOOKUP($B128,[9]Complaints!$A$4:$AG$39,3,)</f>
        <v>0</v>
      </c>
      <c r="M130" s="48">
        <f>VLOOKUP($B128,[10]Complaints!$A$4:$AG$39,3,)</f>
        <v>3</v>
      </c>
      <c r="N130" s="48">
        <f>VLOOKUP($B128,[11]Complaints!$A$4:$AG$39,3,)</f>
        <v>1</v>
      </c>
      <c r="O130" s="49">
        <f>VLOOKUP($B128,[12]Complaints!$A$4:$AG$39,3,)</f>
        <v>0</v>
      </c>
      <c r="P130" s="45">
        <f>SUM(D130:O130)</f>
        <v>17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>
        <f t="shared" si="30"/>
        <v>0</v>
      </c>
      <c r="H131" s="52">
        <f t="shared" si="30"/>
        <v>7.5585789871504159E-4</v>
      </c>
      <c r="I131" s="52">
        <f t="shared" si="30"/>
        <v>2.5526483726866626E-3</v>
      </c>
      <c r="J131" s="52">
        <f t="shared" si="30"/>
        <v>1.3123359580052493E-3</v>
      </c>
      <c r="K131" s="52">
        <f t="shared" si="30"/>
        <v>1.3123359580052493E-3</v>
      </c>
      <c r="L131" s="52">
        <f t="shared" si="30"/>
        <v>0</v>
      </c>
      <c r="M131" s="52">
        <f t="shared" si="30"/>
        <v>2.5553662691652468E-3</v>
      </c>
      <c r="N131" s="52">
        <f t="shared" si="30"/>
        <v>8.1499592502037486E-4</v>
      </c>
      <c r="O131" s="53" t="str">
        <f t="shared" si="30"/>
        <v/>
      </c>
      <c r="P131" s="54">
        <f>IF(P130="","",P130/P129)</f>
        <v>1.3857189435930878E-3</v>
      </c>
      <c r="Q131" s="50"/>
      <c r="R131" s="18"/>
    </row>
    <row r="132" spans="2:18" s="21" customFormat="1" ht="15.75" customHeight="1" x14ac:dyDescent="0.2">
      <c r="B132" s="157" t="s">
        <v>95</v>
      </c>
      <c r="C132" s="158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3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1</v>
      </c>
      <c r="N132" s="48">
        <f>VLOOKUP($B128,[11]Complaints!$A$4:$AG$39,4,)</f>
        <v>0</v>
      </c>
      <c r="O132" s="49">
        <f>VLOOKUP($B128,[12]Complaints!$A$4:$AG$39,4,)</f>
        <v>0</v>
      </c>
      <c r="P132" s="55">
        <f t="shared" ref="P132" si="31">SUM(D132:O132)</f>
        <v>6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>
        <f t="shared" si="32"/>
        <v>0</v>
      </c>
      <c r="H133" s="52">
        <f t="shared" si="32"/>
        <v>0</v>
      </c>
      <c r="I133" s="52">
        <f t="shared" si="32"/>
        <v>1.9144862795149968E-3</v>
      </c>
      <c r="J133" s="52">
        <f t="shared" si="32"/>
        <v>0</v>
      </c>
      <c r="K133" s="52">
        <f t="shared" si="32"/>
        <v>0</v>
      </c>
      <c r="L133" s="52">
        <f t="shared" si="32"/>
        <v>0</v>
      </c>
      <c r="M133" s="52">
        <f t="shared" si="32"/>
        <v>8.5178875638841568E-4</v>
      </c>
      <c r="N133" s="52">
        <f t="shared" si="32"/>
        <v>0</v>
      </c>
      <c r="O133" s="53" t="str">
        <f t="shared" si="32"/>
        <v/>
      </c>
      <c r="P133" s="54">
        <f>IF(P132="","",P132/P129)</f>
        <v>4.8907727420932504E-4</v>
      </c>
      <c r="Q133" s="50"/>
      <c r="R133" s="18"/>
    </row>
    <row r="134" spans="2:18" ht="15.75" customHeight="1" x14ac:dyDescent="0.2">
      <c r="B134" s="157" t="s">
        <v>96</v>
      </c>
      <c r="C134" s="158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1</v>
      </c>
      <c r="I134" s="48">
        <f>VLOOKUP($B128,[6]Complaints!$A$4:$AG$39,5,)</f>
        <v>1</v>
      </c>
      <c r="J134" s="48">
        <f>VLOOKUP($B128,[7]Complaints!$A$4:$AG$39,5,)</f>
        <v>2</v>
      </c>
      <c r="K134" s="48">
        <f>VLOOKUP($B128,[8]Complaints!$A$4:$AG$39,5,)</f>
        <v>2</v>
      </c>
      <c r="L134" s="48">
        <f>VLOOKUP($B128,[9]Complaints!$A$4:$AG$39,5,)</f>
        <v>0</v>
      </c>
      <c r="M134" s="48">
        <f>VLOOKUP($B128,[10]Complaints!$A$4:$AG$39,5,)</f>
        <v>2</v>
      </c>
      <c r="N134" s="48">
        <f>VLOOKUP($B128,[11]Complaints!$A$4:$AG$39,5,)</f>
        <v>1</v>
      </c>
      <c r="O134" s="49">
        <f>VLOOKUP($B128,[12]Complaints!$A$4:$AG$39,5,)</f>
        <v>0</v>
      </c>
      <c r="P134" s="55">
        <f t="shared" ref="P134" si="33">SUM(D134:O134)</f>
        <v>11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>
        <f t="shared" si="34"/>
        <v>0</v>
      </c>
      <c r="H135" s="52">
        <f t="shared" si="34"/>
        <v>7.5585789871504159E-4</v>
      </c>
      <c r="I135" s="52">
        <f t="shared" si="34"/>
        <v>6.3816209317166565E-4</v>
      </c>
      <c r="J135" s="52">
        <f t="shared" si="34"/>
        <v>1.3123359580052493E-3</v>
      </c>
      <c r="K135" s="52">
        <f t="shared" si="34"/>
        <v>1.3123359580052493E-3</v>
      </c>
      <c r="L135" s="52">
        <f t="shared" si="34"/>
        <v>0</v>
      </c>
      <c r="M135" s="52">
        <f t="shared" si="34"/>
        <v>1.7035775127768314E-3</v>
      </c>
      <c r="N135" s="52">
        <f t="shared" si="34"/>
        <v>8.1499592502037486E-4</v>
      </c>
      <c r="O135" s="53" t="str">
        <f t="shared" si="34"/>
        <v/>
      </c>
      <c r="P135" s="54">
        <f>IF(P134="","",P134/P129)</f>
        <v>8.9664166938376261E-4</v>
      </c>
      <c r="Q135" s="50"/>
      <c r="R135" s="18"/>
    </row>
    <row r="136" spans="2:18" ht="15.75" customHeight="1" x14ac:dyDescent="0.2">
      <c r="B136" s="161" t="s">
        <v>97</v>
      </c>
      <c r="C136" s="158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1</v>
      </c>
      <c r="I136" s="48">
        <f>VLOOKUP($B128,[6]Complaints!$A$4:$AG$39,6,)</f>
        <v>1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1</v>
      </c>
      <c r="N136" s="48">
        <f>VLOOKUP($B128,[11]Complaints!$A$4:$AG$39,6,)</f>
        <v>1</v>
      </c>
      <c r="O136" s="49">
        <f>VLOOKUP($B128,[12]Complaints!$A$4:$AG$39,6,)</f>
        <v>0</v>
      </c>
      <c r="P136" s="55">
        <f t="shared" ref="P136" si="35">SUM(D136:O136)</f>
        <v>7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>
        <f t="shared" si="36"/>
        <v>1</v>
      </c>
      <c r="I137" s="57">
        <f>IF(I136=0,"",I136/I134)</f>
        <v>1</v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>
        <f t="shared" si="37"/>
        <v>0.5</v>
      </c>
      <c r="N137" s="57">
        <f t="shared" si="37"/>
        <v>1</v>
      </c>
      <c r="O137" s="58" t="str">
        <f t="shared" si="37"/>
        <v/>
      </c>
      <c r="P137" s="59">
        <f>IF(P136=0,"",P136/P134)</f>
        <v>0.63636363636363635</v>
      </c>
      <c r="Q137" s="60"/>
      <c r="R137" s="18"/>
    </row>
    <row r="138" spans="2:18" ht="15.75" customHeight="1" x14ac:dyDescent="0.2">
      <c r="B138" s="14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0</v>
      </c>
      <c r="P138" s="45">
        <f>SUM(D138:O138)</f>
        <v>0</v>
      </c>
      <c r="Q138" s="46" t="str">
        <f>IF(P138=0,"",P138/$P130)</f>
        <v/>
      </c>
      <c r="R138" s="18"/>
    </row>
    <row r="139" spans="2:18" ht="15.75" customHeight="1" x14ac:dyDescent="0.2">
      <c r="B139" s="14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1</v>
      </c>
      <c r="J139" s="48">
        <f>VLOOKUP($B128,[7]Complaints!$A$4:$AJ$39,8,)</f>
        <v>1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1</v>
      </c>
      <c r="N139" s="48">
        <f>VLOOKUP($B128,[11]Complaints!$A$4:$AJ$39,8,)</f>
        <v>1</v>
      </c>
      <c r="O139" s="49">
        <f>VLOOKUP($B128,[12]Complaints!$A$4:$AJ$39,8,)</f>
        <v>0</v>
      </c>
      <c r="P139" s="55">
        <f t="shared" ref="P139:P140" si="38">SUM(D139:O139)</f>
        <v>4</v>
      </c>
      <c r="Q139" s="50">
        <f>IF(P139="","",P139/$P130)</f>
        <v>0.23529411764705882</v>
      </c>
      <c r="R139" s="18"/>
    </row>
    <row r="140" spans="2:18" ht="15.75" customHeight="1" x14ac:dyDescent="0.2">
      <c r="B140" s="14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3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3</v>
      </c>
      <c r="Q140" s="50">
        <f>IF(P140=0,"",P140/$P130)</f>
        <v>0.17647058823529413</v>
      </c>
      <c r="R140" s="18"/>
    </row>
    <row r="141" spans="2:18" ht="15.75" customHeight="1" x14ac:dyDescent="0.2">
      <c r="B141" s="14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0.11764705882352941</v>
      </c>
      <c r="R141" s="18"/>
    </row>
    <row r="142" spans="2:18" ht="15.75" customHeight="1" x14ac:dyDescent="0.2">
      <c r="B142" s="14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4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1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1</v>
      </c>
      <c r="Q143" s="50">
        <f>IF(P143=0,"",P143/$P130)</f>
        <v>5.8823529411764705E-2</v>
      </c>
    </row>
    <row r="144" spans="2:18" ht="15.75" customHeight="1" x14ac:dyDescent="0.2">
      <c r="B144" s="14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4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4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1</v>
      </c>
      <c r="I146" s="48">
        <f>VLOOKUP($B128,[6]Complaints!$A$4:$AJ$39,15,)</f>
        <v>0</v>
      </c>
      <c r="J146" s="48">
        <f>VLOOKUP($B128,[7]Complaints!$A$4:$AJ$39,15,)</f>
        <v>1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4</v>
      </c>
      <c r="Q146" s="50">
        <f>IF(P146=0,"",P146/$P130)</f>
        <v>0.23529411764705882</v>
      </c>
      <c r="R146" s="18"/>
    </row>
    <row r="147" spans="1:19" ht="15.75" customHeight="1" x14ac:dyDescent="0.2">
      <c r="B147" s="14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4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4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1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1</v>
      </c>
      <c r="Q149" s="50">
        <f>IF(P149=0,"",P149/$P130)</f>
        <v>5.8823529411764705E-2</v>
      </c>
      <c r="R149" s="18"/>
    </row>
    <row r="150" spans="1:19" ht="15.75" customHeight="1" x14ac:dyDescent="0.2">
      <c r="B150" s="14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5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2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1</v>
      </c>
      <c r="O152" s="64">
        <f>VLOOKUP($B128,[12]Complaints!$A$4:$AJ$39,21,)</f>
        <v>0</v>
      </c>
      <c r="P152" s="65">
        <f>SUM(D152:O152)</f>
        <v>4</v>
      </c>
      <c r="Q152" s="46">
        <f>IF(P152=0,"",P152/$P136)</f>
        <v>0.5714285714285714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0</v>
      </c>
      <c r="P153" s="69">
        <f t="shared" ref="P153:P167" si="40">SUM(D153:O153)</f>
        <v>0</v>
      </c>
      <c r="Q153" s="70" t="str">
        <f>IF(P153=0,"",P153/$P136)</f>
        <v/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1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1</v>
      </c>
      <c r="O154" s="68">
        <f>VLOOKUP($B128,[12]Complaints!$A$4:$AJ$39,23,)</f>
        <v>0</v>
      </c>
      <c r="P154" s="69">
        <f t="shared" si="40"/>
        <v>3</v>
      </c>
      <c r="Q154" s="70">
        <f>IF(P154=0,"",P154/$P136)</f>
        <v>0.42857142857142855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1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1</v>
      </c>
      <c r="Q156" s="70">
        <f>IF(P156=0,"",P156/$P136)</f>
        <v>0.14285714285714285</v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0</v>
      </c>
      <c r="P157" s="69">
        <f t="shared" si="40"/>
        <v>0</v>
      </c>
      <c r="Q157" s="70" t="str">
        <f>IF(P157=0,"",P157/$P136)</f>
        <v/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1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1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4</v>
      </c>
      <c r="Q162" s="50">
        <f>IF(P162=0,"",P162/$P136)</f>
        <v>0.5714285714285714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1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1</v>
      </c>
      <c r="Q164" s="70">
        <f>IF(P164=0,"",P164/$P136)</f>
        <v>0.14285714285714285</v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1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2</v>
      </c>
      <c r="Q166" s="70">
        <f>IF(P166=0,"",P166/$P136)</f>
        <v>0.2857142857142857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0.14285714285714285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9" t="s">
        <v>16</v>
      </c>
      <c r="C169" s="160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2" t="s">
        <v>104</v>
      </c>
      <c r="R169" s="18"/>
    </row>
    <row r="170" spans="2:19" ht="15.75" customHeight="1" thickBot="1" x14ac:dyDescent="0.3">
      <c r="B170" s="151" t="s">
        <v>71</v>
      </c>
      <c r="C170" s="152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3"/>
      <c r="R170" s="18"/>
      <c r="S170" s="21"/>
    </row>
    <row r="171" spans="2:19" ht="12.75" customHeight="1" thickBot="1" x14ac:dyDescent="0.25">
      <c r="B171" s="153" t="s">
        <v>38</v>
      </c>
      <c r="C171" s="154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472</v>
      </c>
      <c r="H171" s="43">
        <f>VLOOKUP($B170,[5]Complaints!$A$4:$AJ$39,2)</f>
        <v>615</v>
      </c>
      <c r="I171" s="43">
        <f>VLOOKUP($B170,[6]Complaints!$A$4:$AJ$39,2)</f>
        <v>739</v>
      </c>
      <c r="J171" s="43">
        <f>VLOOKUP($B170,[7]Complaints!$A$4:$AJ$39,2)</f>
        <v>752</v>
      </c>
      <c r="K171" s="43">
        <f>VLOOKUP($B170,[8]Complaints!$A$4:$AJ$39,2)</f>
        <v>752</v>
      </c>
      <c r="L171" s="43">
        <f>VLOOKUP($B170,[9]Complaints!$A$4:$AJ$39,2)</f>
        <v>663</v>
      </c>
      <c r="M171" s="43">
        <f>VLOOKUP($B170,[10]Complaints!$A$4:$AJ$39,2)</f>
        <v>413</v>
      </c>
      <c r="N171" s="43">
        <f>VLOOKUP($B170,[11]Complaints!$A$4:$AJ$39,2)</f>
        <v>421</v>
      </c>
      <c r="O171" s="44">
        <f>VLOOKUP($B170,[12]Complaints!$A$4:$AJ$39,2)</f>
        <v>0</v>
      </c>
      <c r="P171" s="45">
        <f>SUM(D171:O171)</f>
        <v>5400</v>
      </c>
      <c r="Q171" s="46"/>
      <c r="R171" s="18"/>
    </row>
    <row r="172" spans="2:19" ht="15.75" customHeight="1" x14ac:dyDescent="0.2">
      <c r="B172" s="155" t="s">
        <v>94</v>
      </c>
      <c r="C172" s="156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1</v>
      </c>
      <c r="H172" s="48">
        <f>VLOOKUP($B170,[5]Complaints!$A$4:$AG$39,3,)</f>
        <v>0</v>
      </c>
      <c r="I172" s="48">
        <f>VLOOKUP($B170,[6]Complaints!$A$4:$AG$39,3,)</f>
        <v>1</v>
      </c>
      <c r="J172" s="48">
        <f>VLOOKUP($B170,[7]Complaints!$A$4:$AG$39,3,)</f>
        <v>1</v>
      </c>
      <c r="K172" s="48">
        <f>VLOOKUP($B170,[8]Complaints!$A$4:$AG$39,3,)</f>
        <v>1</v>
      </c>
      <c r="L172" s="48">
        <f>VLOOKUP($B170,[9]Complaints!$A$4:$AG$39,3,)</f>
        <v>0</v>
      </c>
      <c r="M172" s="48">
        <f>VLOOKUP($B170,[10]Complaints!$A$4:$AG$39,3,)</f>
        <v>1</v>
      </c>
      <c r="N172" s="48">
        <f>VLOOKUP($B170,[11]Complaints!$A$4:$AG$39,3,)</f>
        <v>1</v>
      </c>
      <c r="O172" s="49">
        <f>VLOOKUP($B170,[12]Complaints!$A$4:$AG$39,3,)</f>
        <v>0</v>
      </c>
      <c r="P172" s="45">
        <f>SUM(D172:O172)</f>
        <v>7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>
        <f t="shared" si="41"/>
        <v>2.1186440677966102E-3</v>
      </c>
      <c r="H173" s="52">
        <f t="shared" si="41"/>
        <v>0</v>
      </c>
      <c r="I173" s="52">
        <f t="shared" si="41"/>
        <v>1.3531799729364006E-3</v>
      </c>
      <c r="J173" s="52">
        <f t="shared" si="41"/>
        <v>1.3297872340425532E-3</v>
      </c>
      <c r="K173" s="52">
        <f t="shared" si="41"/>
        <v>1.3297872340425532E-3</v>
      </c>
      <c r="L173" s="52">
        <f t="shared" si="41"/>
        <v>0</v>
      </c>
      <c r="M173" s="52">
        <f t="shared" si="41"/>
        <v>2.4213075060532689E-3</v>
      </c>
      <c r="N173" s="52">
        <f t="shared" si="41"/>
        <v>2.3752969121140144E-3</v>
      </c>
      <c r="O173" s="53" t="str">
        <f t="shared" si="41"/>
        <v/>
      </c>
      <c r="P173" s="54">
        <f>IF(P172="","",P172/P171)</f>
        <v>1.2962962962962963E-3</v>
      </c>
      <c r="Q173" s="50"/>
      <c r="R173" s="18"/>
    </row>
    <row r="174" spans="2:19" s="21" customFormat="1" ht="15.75" customHeight="1" x14ac:dyDescent="0.2">
      <c r="B174" s="157" t="s">
        <v>95</v>
      </c>
      <c r="C174" s="158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1</v>
      </c>
      <c r="K174" s="48">
        <f>VLOOKUP($B170,[8]Complaints!$A$4:$AG$39,4,)</f>
        <v>1</v>
      </c>
      <c r="L174" s="48">
        <f>VLOOKUP($B170,[9]Complaints!$A$4:$AG$39,4,)</f>
        <v>0</v>
      </c>
      <c r="M174" s="48">
        <f>VLOOKUP($B170,[10]Complaints!$A$4:$AG$39,4,)</f>
        <v>1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3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>
        <f t="shared" si="43"/>
        <v>0</v>
      </c>
      <c r="H175" s="52">
        <f t="shared" si="43"/>
        <v>0</v>
      </c>
      <c r="I175" s="52">
        <f t="shared" si="43"/>
        <v>0</v>
      </c>
      <c r="J175" s="52">
        <f t="shared" si="43"/>
        <v>1.3297872340425532E-3</v>
      </c>
      <c r="K175" s="52">
        <f t="shared" si="43"/>
        <v>1.3297872340425532E-3</v>
      </c>
      <c r="L175" s="52">
        <f t="shared" si="43"/>
        <v>0</v>
      </c>
      <c r="M175" s="52">
        <f t="shared" si="43"/>
        <v>2.4213075060532689E-3</v>
      </c>
      <c r="N175" s="52">
        <f t="shared" si="43"/>
        <v>0</v>
      </c>
      <c r="O175" s="53" t="str">
        <f t="shared" si="43"/>
        <v/>
      </c>
      <c r="P175" s="54">
        <f>IF(P174="","",P174/P171)</f>
        <v>5.5555555555555556E-4</v>
      </c>
      <c r="Q175" s="50"/>
      <c r="R175" s="18"/>
    </row>
    <row r="176" spans="2:19" ht="15.75" customHeight="1" x14ac:dyDescent="0.2">
      <c r="B176" s="157" t="s">
        <v>96</v>
      </c>
      <c r="C176" s="158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1</v>
      </c>
      <c r="H176" s="48">
        <f>VLOOKUP($B170,[5]Complaints!$A$4:$AG$39,5,)</f>
        <v>0</v>
      </c>
      <c r="I176" s="48">
        <f>VLOOKUP($B170,[6]Complaints!$A$4:$AG$39,5,)</f>
        <v>1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1</v>
      </c>
      <c r="O176" s="49">
        <f>VLOOKUP($B170,[12]Complaints!$A$4:$AG$39,5,)</f>
        <v>0</v>
      </c>
      <c r="P176" s="55">
        <f t="shared" ref="P176" si="44">SUM(D176:O176)</f>
        <v>4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>
        <f t="shared" si="45"/>
        <v>2.1186440677966102E-3</v>
      </c>
      <c r="H177" s="52">
        <f t="shared" si="45"/>
        <v>0</v>
      </c>
      <c r="I177" s="52">
        <f t="shared" si="45"/>
        <v>1.3531799729364006E-3</v>
      </c>
      <c r="J177" s="52">
        <f t="shared" si="45"/>
        <v>0</v>
      </c>
      <c r="K177" s="52">
        <f t="shared" si="45"/>
        <v>0</v>
      </c>
      <c r="L177" s="52">
        <f t="shared" si="45"/>
        <v>0</v>
      </c>
      <c r="M177" s="52">
        <f t="shared" si="45"/>
        <v>0</v>
      </c>
      <c r="N177" s="52">
        <f t="shared" si="45"/>
        <v>2.3752969121140144E-3</v>
      </c>
      <c r="O177" s="53" t="str">
        <f t="shared" si="45"/>
        <v/>
      </c>
      <c r="P177" s="54">
        <f>IF(P176="","",P176/P171)</f>
        <v>7.407407407407407E-4</v>
      </c>
      <c r="Q177" s="50"/>
      <c r="R177" s="18"/>
    </row>
    <row r="178" spans="2:18" ht="15.75" customHeight="1" x14ac:dyDescent="0.2">
      <c r="B178" s="161" t="s">
        <v>97</v>
      </c>
      <c r="C178" s="158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1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1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>
        <f>IF(I178=0,"",I178/I176)</f>
        <v>1</v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>
        <f>IF(P178=0,"",P178/P176)</f>
        <v>0.25</v>
      </c>
      <c r="Q179" s="60"/>
      <c r="R179" s="18"/>
    </row>
    <row r="180" spans="2:18" ht="15.75" customHeight="1" x14ac:dyDescent="0.2">
      <c r="B180" s="14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4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1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1</v>
      </c>
      <c r="O181" s="49">
        <f>VLOOKUP($B170,[12]Complaints!$A$4:$AJ$39,8,)</f>
        <v>0</v>
      </c>
      <c r="P181" s="55">
        <f t="shared" ref="P181:P182" si="49">SUM(D181:O181)</f>
        <v>3</v>
      </c>
      <c r="Q181" s="50">
        <f>IF(P181="","",P181/$P172)</f>
        <v>0.42857142857142855</v>
      </c>
      <c r="R181" s="18"/>
    </row>
    <row r="182" spans="2:18" ht="15.75" customHeight="1" x14ac:dyDescent="0.2">
      <c r="B182" s="14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4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1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1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2</v>
      </c>
      <c r="Q183" s="50">
        <f>IF(P183=0,"",P183/$P172)</f>
        <v>0.2857142857142857</v>
      </c>
      <c r="R183" s="18"/>
    </row>
    <row r="184" spans="2:18" ht="15.75" customHeight="1" x14ac:dyDescent="0.2">
      <c r="B184" s="14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4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1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1</v>
      </c>
      <c r="Q185" s="50">
        <f>IF(P185=0,"",P185/$P172)</f>
        <v>0.14285714285714285</v>
      </c>
    </row>
    <row r="186" spans="2:18" ht="15.75" customHeight="1" x14ac:dyDescent="0.2">
      <c r="B186" s="14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4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4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4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4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4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4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5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1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1</v>
      </c>
      <c r="Q194" s="46">
        <f>IF(P194=0,"",P194/$P178)</f>
        <v>1</v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1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1</v>
      </c>
      <c r="Q201" s="70">
        <f>IF(P201=0,"",P201/$P178)</f>
        <v>1</v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9" t="s">
        <v>17</v>
      </c>
      <c r="C211" s="160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2" t="s">
        <v>104</v>
      </c>
      <c r="R211" s="18"/>
    </row>
    <row r="212" spans="2:19" ht="15.75" customHeight="1" thickBot="1" x14ac:dyDescent="0.3">
      <c r="B212" s="151" t="s">
        <v>70</v>
      </c>
      <c r="C212" s="152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3"/>
      <c r="R212" s="18"/>
      <c r="S212" s="19"/>
    </row>
    <row r="213" spans="2:19" ht="12.75" customHeight="1" thickBot="1" x14ac:dyDescent="0.25">
      <c r="B213" s="153" t="s">
        <v>38</v>
      </c>
      <c r="C213" s="154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2218</v>
      </c>
      <c r="H213" s="43">
        <f>VLOOKUP($B212,[5]Complaints!$A$4:$AJ$39,2)</f>
        <v>2619</v>
      </c>
      <c r="I213" s="43">
        <f>VLOOKUP($B212,[6]Complaints!$A$4:$AJ$39,2)</f>
        <v>2823</v>
      </c>
      <c r="J213" s="43">
        <f>VLOOKUP($B212,[7]Complaints!$A$4:$AJ$39,2)</f>
        <v>2953</v>
      </c>
      <c r="K213" s="43">
        <f>VLOOKUP($B212,[8]Complaints!$A$4:$AJ$39,2)</f>
        <v>2953</v>
      </c>
      <c r="L213" s="43">
        <f>VLOOKUP($B212,[9]Complaints!$A$4:$AJ$39,2)</f>
        <v>2654</v>
      </c>
      <c r="M213" s="43">
        <f>VLOOKUP($B212,[10]Complaints!$A$4:$AJ$39,2)</f>
        <v>1854</v>
      </c>
      <c r="N213" s="43">
        <f>VLOOKUP($B212,[11]Complaints!$A$4:$AJ$39,2)</f>
        <v>1954</v>
      </c>
      <c r="O213" s="44">
        <f>VLOOKUP($B212,[12]Complaints!$A$4:$AJ$39,2)</f>
        <v>0</v>
      </c>
      <c r="P213" s="45">
        <f>SUM(D213:O213)</f>
        <v>23051</v>
      </c>
      <c r="Q213" s="46"/>
      <c r="R213" s="18"/>
    </row>
    <row r="214" spans="2:19" ht="15.75" customHeight="1" x14ac:dyDescent="0.2">
      <c r="B214" s="155" t="s">
        <v>94</v>
      </c>
      <c r="C214" s="156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2</v>
      </c>
      <c r="I214" s="48">
        <f>VLOOKUP($B212,[6]Complaints!$A$4:$AG$39,3,)</f>
        <v>5</v>
      </c>
      <c r="J214" s="48">
        <f>VLOOKUP($B212,[7]Complaints!$A$4:$AG$39,3,)</f>
        <v>4</v>
      </c>
      <c r="K214" s="48">
        <f>VLOOKUP($B212,[8]Complaints!$A$4:$AG$39,3,)</f>
        <v>4</v>
      </c>
      <c r="L214" s="48">
        <f>VLOOKUP($B212,[9]Complaints!$A$4:$AG$39,3,)</f>
        <v>4</v>
      </c>
      <c r="M214" s="48">
        <f>VLOOKUP($B212,[10]Complaints!$A$4:$AG$39,3,)</f>
        <v>0</v>
      </c>
      <c r="N214" s="48">
        <f>VLOOKUP($B212,[11]Complaints!$A$4:$AG$39,3,)</f>
        <v>1</v>
      </c>
      <c r="O214" s="49">
        <f>VLOOKUP($B212,[12]Complaints!$A$4:$AG$39,3,)</f>
        <v>0</v>
      </c>
      <c r="P214" s="45">
        <f>SUM(D214:O214)</f>
        <v>25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>
        <f t="shared" si="52"/>
        <v>0</v>
      </c>
      <c r="H215" s="52">
        <f t="shared" si="52"/>
        <v>7.6365024818633069E-4</v>
      </c>
      <c r="I215" s="52">
        <f t="shared" si="52"/>
        <v>1.7711654268508679E-3</v>
      </c>
      <c r="J215" s="52">
        <f t="shared" si="52"/>
        <v>1.3545546901456147E-3</v>
      </c>
      <c r="K215" s="52">
        <f t="shared" si="52"/>
        <v>1.3545546901456147E-3</v>
      </c>
      <c r="L215" s="52">
        <f t="shared" si="52"/>
        <v>1.5071590052750565E-3</v>
      </c>
      <c r="M215" s="52">
        <f t="shared" si="52"/>
        <v>0</v>
      </c>
      <c r="N215" s="52">
        <f t="shared" si="52"/>
        <v>5.1177072671443195E-4</v>
      </c>
      <c r="O215" s="53" t="str">
        <f t="shared" si="52"/>
        <v/>
      </c>
      <c r="P215" s="54">
        <f>IF(P214="","",P214/P213)</f>
        <v>1.0845516463493991E-3</v>
      </c>
      <c r="Q215" s="50"/>
      <c r="R215" s="18"/>
    </row>
    <row r="216" spans="2:19" s="21" customFormat="1" ht="15.75" customHeight="1" x14ac:dyDescent="0.2">
      <c r="B216" s="157" t="s">
        <v>95</v>
      </c>
      <c r="C216" s="158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1</v>
      </c>
      <c r="J216" s="48">
        <f>VLOOKUP($B212,[7]Complaints!$A$4:$AG$39,4,)</f>
        <v>2</v>
      </c>
      <c r="K216" s="48">
        <f>VLOOKUP($B212,[8]Complaints!$A$4:$AG$39,4,)</f>
        <v>2</v>
      </c>
      <c r="L216" s="48">
        <f>VLOOKUP($B212,[9]Complaints!$A$4:$AG$39,4,)</f>
        <v>3</v>
      </c>
      <c r="M216" s="48">
        <f>VLOOKUP($B212,[10]Complaints!$A$4:$AG$39,4,)</f>
        <v>0</v>
      </c>
      <c r="N216" s="48">
        <f>VLOOKUP($B212,[11]Complaints!$A$4:$AG$39,4,)</f>
        <v>1</v>
      </c>
      <c r="O216" s="49">
        <f>VLOOKUP($B212,[12]Complaints!$A$4:$AG$39,4,)</f>
        <v>0</v>
      </c>
      <c r="P216" s="55">
        <f t="shared" ref="P216" si="53">SUM(D216:O216)</f>
        <v>12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>
        <f t="shared" si="54"/>
        <v>0</v>
      </c>
      <c r="H217" s="52">
        <f t="shared" si="54"/>
        <v>0</v>
      </c>
      <c r="I217" s="52">
        <f t="shared" si="54"/>
        <v>3.5423308537017357E-4</v>
      </c>
      <c r="J217" s="52">
        <f t="shared" si="54"/>
        <v>6.7727734507280735E-4</v>
      </c>
      <c r="K217" s="52">
        <f t="shared" si="54"/>
        <v>6.7727734507280735E-4</v>
      </c>
      <c r="L217" s="52">
        <f t="shared" si="54"/>
        <v>1.1303692539562924E-3</v>
      </c>
      <c r="M217" s="52">
        <f t="shared" si="54"/>
        <v>0</v>
      </c>
      <c r="N217" s="52">
        <f t="shared" si="54"/>
        <v>5.1177072671443195E-4</v>
      </c>
      <c r="O217" s="53" t="str">
        <f t="shared" si="54"/>
        <v/>
      </c>
      <c r="P217" s="54">
        <f>IF(P216="","",P216/P213)</f>
        <v>5.205847902477116E-4</v>
      </c>
      <c r="Q217" s="50"/>
      <c r="R217" s="18"/>
    </row>
    <row r="218" spans="2:19" ht="15.75" customHeight="1" x14ac:dyDescent="0.2">
      <c r="B218" s="157" t="s">
        <v>96</v>
      </c>
      <c r="C218" s="158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2</v>
      </c>
      <c r="I218" s="48">
        <f>VLOOKUP($B212,[6]Complaints!$A$4:$AG$39,5,)</f>
        <v>4</v>
      </c>
      <c r="J218" s="48">
        <f>VLOOKUP($B212,[7]Complaints!$A$4:$AG$39,5,)</f>
        <v>2</v>
      </c>
      <c r="K218" s="48">
        <f>VLOOKUP($B212,[8]Complaints!$A$4:$AG$39,5,)</f>
        <v>2</v>
      </c>
      <c r="L218" s="48">
        <f>VLOOKUP($B212,[9]Complaints!$A$4:$AG$39,5,)</f>
        <v>1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0</v>
      </c>
      <c r="P218" s="55">
        <f t="shared" ref="P218" si="55">SUM(D218:O218)</f>
        <v>13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>
        <f t="shared" si="56"/>
        <v>0</v>
      </c>
      <c r="H219" s="52">
        <f t="shared" si="56"/>
        <v>7.6365024818633069E-4</v>
      </c>
      <c r="I219" s="52">
        <f t="shared" si="56"/>
        <v>1.4169323414806943E-3</v>
      </c>
      <c r="J219" s="52">
        <f t="shared" si="56"/>
        <v>6.7727734507280735E-4</v>
      </c>
      <c r="K219" s="52">
        <f t="shared" si="56"/>
        <v>6.7727734507280735E-4</v>
      </c>
      <c r="L219" s="52">
        <f t="shared" si="56"/>
        <v>3.7678975131876413E-4</v>
      </c>
      <c r="M219" s="52">
        <f t="shared" si="56"/>
        <v>0</v>
      </c>
      <c r="N219" s="52">
        <f t="shared" si="56"/>
        <v>0</v>
      </c>
      <c r="O219" s="53" t="str">
        <f t="shared" si="56"/>
        <v/>
      </c>
      <c r="P219" s="54">
        <f>IF(P218="","",P218/P213)</f>
        <v>5.6396685610168753E-4</v>
      </c>
      <c r="Q219" s="50"/>
      <c r="R219" s="18"/>
    </row>
    <row r="220" spans="2:19" ht="15.75" customHeight="1" x14ac:dyDescent="0.2">
      <c r="B220" s="161" t="s">
        <v>97</v>
      </c>
      <c r="C220" s="158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1</v>
      </c>
      <c r="I220" s="48">
        <f>VLOOKUP($B212,[6]Complaints!$A$4:$AG$39,6,)</f>
        <v>2</v>
      </c>
      <c r="J220" s="48">
        <f>VLOOKUP($B212,[7]Complaints!$A$4:$AG$39,6,)</f>
        <v>1</v>
      </c>
      <c r="K220" s="48">
        <f>VLOOKUP($B212,[8]Complaints!$A$4:$AG$39,6,)</f>
        <v>1</v>
      </c>
      <c r="L220" s="48">
        <f>VLOOKUP($B212,[9]Complaints!$A$4:$AG$39,6,)</f>
        <v>3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0</v>
      </c>
      <c r="P220" s="55">
        <f t="shared" ref="P220" si="57">SUM(D220:O220)</f>
        <v>9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>
        <f t="shared" si="58"/>
        <v>0.5</v>
      </c>
      <c r="I221" s="57">
        <f>IF(I220=0,"",I220/I218)</f>
        <v>0.5</v>
      </c>
      <c r="J221" s="57">
        <f t="shared" ref="J221:O221" si="59">IF(J220=0,"",J220/J218)</f>
        <v>0.5</v>
      </c>
      <c r="K221" s="57">
        <f t="shared" si="59"/>
        <v>0.5</v>
      </c>
      <c r="L221" s="57">
        <f t="shared" si="59"/>
        <v>3</v>
      </c>
      <c r="M221" s="57" t="str">
        <f t="shared" si="59"/>
        <v/>
      </c>
      <c r="N221" s="57" t="str">
        <f t="shared" si="59"/>
        <v/>
      </c>
      <c r="O221" s="58" t="str">
        <f t="shared" si="59"/>
        <v/>
      </c>
      <c r="P221" s="59">
        <f>IF(P220=0,"",P220/P218)</f>
        <v>0.69230769230769229</v>
      </c>
      <c r="Q221" s="60"/>
      <c r="R221" s="18"/>
    </row>
    <row r="222" spans="2:19" ht="15.75" customHeight="1" x14ac:dyDescent="0.2">
      <c r="B222" s="14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1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1</v>
      </c>
      <c r="Q222" s="46">
        <f>IF(P222=0,"",P222/$P214)</f>
        <v>0.04</v>
      </c>
      <c r="R222" s="18"/>
    </row>
    <row r="223" spans="2:19" ht="15.75" customHeight="1" x14ac:dyDescent="0.2">
      <c r="B223" s="14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2</v>
      </c>
      <c r="I223" s="48">
        <f>VLOOKUP($B212,[6]Complaints!$A$4:$AJ$39,8,)</f>
        <v>3</v>
      </c>
      <c r="J223" s="48">
        <f>VLOOKUP($B212,[7]Complaints!$A$4:$AJ$39,8,)</f>
        <v>1</v>
      </c>
      <c r="K223" s="48">
        <f>VLOOKUP($B212,[8]Complaints!$A$4:$AJ$39,8,)</f>
        <v>1</v>
      </c>
      <c r="L223" s="48">
        <f>VLOOKUP($B212,[9]Complaints!$A$4:$AJ$39,8,)</f>
        <v>1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0</v>
      </c>
      <c r="P223" s="55">
        <f t="shared" ref="P223:P224" si="60">SUM(D223:O223)</f>
        <v>9</v>
      </c>
      <c r="Q223" s="50">
        <f>IF(P223="","",P223/$P214)</f>
        <v>0.36</v>
      </c>
      <c r="R223" s="18"/>
    </row>
    <row r="224" spans="2:19" ht="15.75" customHeight="1" x14ac:dyDescent="0.2">
      <c r="B224" s="14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1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1</v>
      </c>
      <c r="Q224" s="50">
        <f>IF(P224=0,"",P224/$P214)</f>
        <v>0.04</v>
      </c>
      <c r="R224" s="18"/>
    </row>
    <row r="225" spans="2:18" ht="15.75" customHeight="1" x14ac:dyDescent="0.2">
      <c r="B225" s="14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1</v>
      </c>
      <c r="L225" s="48">
        <f>VLOOKUP($B212,[9]Complaints!$A$4:$AJ$39,10,)</f>
        <v>1</v>
      </c>
      <c r="M225" s="48">
        <f>VLOOKUP($B212,[10]Complaints!$A$4:$AJ$39,10,)</f>
        <v>0</v>
      </c>
      <c r="N225" s="48">
        <f>VLOOKUP($B212,[11]Complaints!$A$4:$AJ$39,10,)</f>
        <v>1</v>
      </c>
      <c r="O225" s="49">
        <f>VLOOKUP($B212,[12]Complaints!$A$4:$AJ$39,10,)</f>
        <v>0</v>
      </c>
      <c r="P225" s="55">
        <f>SUM(D225:O225)</f>
        <v>5</v>
      </c>
      <c r="Q225" s="50">
        <f>IF(P225=0,"",P225/$P214)</f>
        <v>0.2</v>
      </c>
      <c r="R225" s="18"/>
    </row>
    <row r="226" spans="2:18" ht="15.75" customHeight="1" x14ac:dyDescent="0.2">
      <c r="B226" s="14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0.04</v>
      </c>
      <c r="R226" s="18"/>
    </row>
    <row r="227" spans="2:18" s="19" customFormat="1" ht="15.75" customHeight="1" x14ac:dyDescent="0.2">
      <c r="B227" s="14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4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1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2</v>
      </c>
      <c r="Q228" s="50">
        <f>IF(P228=0,"",P228/$P214)</f>
        <v>0.08</v>
      </c>
      <c r="R228" s="18"/>
    </row>
    <row r="229" spans="2:18" ht="15.75" customHeight="1" x14ac:dyDescent="0.2">
      <c r="B229" s="14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4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1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1</v>
      </c>
      <c r="Q230" s="50">
        <f>IF(P230=0,"",P230/$P214)</f>
        <v>0.04</v>
      </c>
      <c r="R230" s="18"/>
    </row>
    <row r="231" spans="2:18" ht="15.75" customHeight="1" x14ac:dyDescent="0.2">
      <c r="B231" s="14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4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4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1</v>
      </c>
      <c r="K233" s="48">
        <f>VLOOKUP($B212,[8]Complaints!$A$4:$AJ$39,18,)</f>
        <v>0</v>
      </c>
      <c r="L233" s="48">
        <f>VLOOKUP($B212,[9]Complaints!$A$4:$AJ$39,18,)</f>
        <v>2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3</v>
      </c>
      <c r="Q233" s="50">
        <f>IF(P233=0,"",P233/$P214)</f>
        <v>0.12</v>
      </c>
      <c r="R233" s="18"/>
    </row>
    <row r="234" spans="2:18" ht="15.75" customHeight="1" x14ac:dyDescent="0.2">
      <c r="B234" s="14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5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1</v>
      </c>
      <c r="I236" s="63">
        <f>VLOOKUP($B212,[6]Complaints!$A$4:$AJ$39,21,)</f>
        <v>2</v>
      </c>
      <c r="J236" s="63">
        <f>VLOOKUP($B212,[7]Complaints!$A$4:$AJ$39,21,)</f>
        <v>1</v>
      </c>
      <c r="K236" s="63">
        <f>VLOOKUP($B212,[8]Complaints!$A$4:$AJ$39,21,)</f>
        <v>1</v>
      </c>
      <c r="L236" s="63">
        <f>VLOOKUP($B212,[9]Complaints!$A$4:$AJ$39,21,)</f>
        <v>3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0</v>
      </c>
      <c r="P236" s="65">
        <f>SUM(D236:O236)</f>
        <v>9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0</v>
      </c>
      <c r="P237" s="69">
        <f t="shared" ref="P237:P251" si="62">SUM(D237:O237)</f>
        <v>0</v>
      </c>
      <c r="Q237" s="70" t="str">
        <f>IF(P237=0,"",P237/$P220)</f>
        <v/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1</v>
      </c>
      <c r="I238" s="67">
        <f>VLOOKUP($B212,[6]Complaints!$A$4:$AJ$39,23,)</f>
        <v>0</v>
      </c>
      <c r="J238" s="67">
        <f>VLOOKUP($B212,[7]Complaints!$A$4:$AJ$39,23,)</f>
        <v>1</v>
      </c>
      <c r="K238" s="67">
        <f>VLOOKUP($B212,[8]Complaints!$A$4:$AJ$39,23,)</f>
        <v>1</v>
      </c>
      <c r="L238" s="67">
        <f>VLOOKUP($B212,[9]Complaints!$A$4:$AJ$39,23,)</f>
        <v>1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4</v>
      </c>
      <c r="Q238" s="70">
        <f>IF(P238=0,"",P238/$P220)</f>
        <v>0.44444444444444442</v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1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1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0</v>
      </c>
      <c r="P240" s="69">
        <f t="shared" si="62"/>
        <v>2</v>
      </c>
      <c r="Q240" s="70">
        <f>IF(P240=0,"",P240/$P220)</f>
        <v>0.22222222222222221</v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1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1</v>
      </c>
      <c r="Q241" s="70">
        <f>IF(P241=0,"",P241/$P220)</f>
        <v>0.1111111111111111</v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0.1111111111111111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1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1</v>
      </c>
      <c r="Q244" s="70">
        <f>IF(P244=0,"",P244/$P220)</f>
        <v>0.1111111111111111</v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9" t="s">
        <v>69</v>
      </c>
      <c r="C253" s="160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2" t="s">
        <v>104</v>
      </c>
      <c r="R253" s="18"/>
      <c r="S253" s="19"/>
    </row>
    <row r="254" spans="1:19" ht="15.75" customHeight="1" thickBot="1" x14ac:dyDescent="0.3">
      <c r="B254" s="151" t="s">
        <v>68</v>
      </c>
      <c r="C254" s="152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3"/>
      <c r="R254" s="18"/>
    </row>
    <row r="255" spans="1:19" ht="12.75" customHeight="1" thickBot="1" x14ac:dyDescent="0.25">
      <c r="B255" s="153" t="s">
        <v>38</v>
      </c>
      <c r="C255" s="154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51</v>
      </c>
      <c r="H255" s="43">
        <f>VLOOKUP($B254,[5]Complaints!$A$4:$AJ$39,2)</f>
        <v>49</v>
      </c>
      <c r="I255" s="43">
        <f>VLOOKUP($B254,[6]Complaints!$A$4:$AJ$39,2)</f>
        <v>63</v>
      </c>
      <c r="J255" s="43">
        <f>VLOOKUP($B254,[7]Complaints!$A$4:$AJ$39,2)</f>
        <v>68</v>
      </c>
      <c r="K255" s="43">
        <f>VLOOKUP($B254,[8]Complaints!$A$4:$AJ$39,2)</f>
        <v>68</v>
      </c>
      <c r="L255" s="43">
        <f>VLOOKUP($B254,[9]Complaints!$A$4:$AJ$39,2)</f>
        <v>66</v>
      </c>
      <c r="M255" s="43">
        <f>VLOOKUP($B254,[10]Complaints!$A$4:$AJ$39,2)</f>
        <v>59</v>
      </c>
      <c r="N255" s="43">
        <f>VLOOKUP($B254,[11]Complaints!$A$4:$AJ$39,2)</f>
        <v>67</v>
      </c>
      <c r="O255" s="44">
        <f>VLOOKUP($B254,[12]Complaints!$A$4:$AJ$39,2)</f>
        <v>0</v>
      </c>
      <c r="P255" s="45">
        <f>SUM(D255:O255)</f>
        <v>540</v>
      </c>
      <c r="Q255" s="46"/>
      <c r="R255" s="18"/>
    </row>
    <row r="256" spans="1:19" ht="15.75" customHeight="1" x14ac:dyDescent="0.2">
      <c r="B256" s="155" t="s">
        <v>94</v>
      </c>
      <c r="C256" s="156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>
        <f t="shared" si="63"/>
        <v>0</v>
      </c>
      <c r="H257" s="52">
        <f t="shared" si="63"/>
        <v>0</v>
      </c>
      <c r="I257" s="52">
        <f t="shared" si="63"/>
        <v>0</v>
      </c>
      <c r="J257" s="52">
        <f t="shared" si="63"/>
        <v>0</v>
      </c>
      <c r="K257" s="52">
        <f t="shared" si="63"/>
        <v>0</v>
      </c>
      <c r="L257" s="52">
        <f t="shared" si="63"/>
        <v>0</v>
      </c>
      <c r="M257" s="52">
        <f t="shared" si="63"/>
        <v>0</v>
      </c>
      <c r="N257" s="52">
        <f t="shared" si="63"/>
        <v>0</v>
      </c>
      <c r="O257" s="53" t="str">
        <f t="shared" si="63"/>
        <v/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7" t="s">
        <v>95</v>
      </c>
      <c r="C258" s="158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>
        <f t="shared" si="65"/>
        <v>0</v>
      </c>
      <c r="H259" s="52">
        <f t="shared" si="65"/>
        <v>0</v>
      </c>
      <c r="I259" s="52">
        <f t="shared" si="65"/>
        <v>0</v>
      </c>
      <c r="J259" s="52">
        <f t="shared" si="65"/>
        <v>0</v>
      </c>
      <c r="K259" s="52">
        <f t="shared" si="65"/>
        <v>0</v>
      </c>
      <c r="L259" s="52">
        <f t="shared" si="65"/>
        <v>0</v>
      </c>
      <c r="M259" s="52">
        <f t="shared" si="65"/>
        <v>0</v>
      </c>
      <c r="N259" s="52">
        <f t="shared" si="65"/>
        <v>0</v>
      </c>
      <c r="O259" s="53" t="str">
        <f t="shared" si="65"/>
        <v/>
      </c>
      <c r="P259" s="54">
        <f>IF(P258="","",P258/P255)</f>
        <v>0</v>
      </c>
      <c r="Q259" s="50"/>
      <c r="R259" s="18"/>
    </row>
    <row r="260" spans="2:18" ht="15.75" customHeight="1" x14ac:dyDescent="0.2">
      <c r="B260" s="157" t="s">
        <v>96</v>
      </c>
      <c r="C260" s="158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>
        <f t="shared" si="67"/>
        <v>0</v>
      </c>
      <c r="H261" s="52">
        <f t="shared" si="67"/>
        <v>0</v>
      </c>
      <c r="I261" s="52">
        <f t="shared" si="67"/>
        <v>0</v>
      </c>
      <c r="J261" s="52">
        <f t="shared" si="67"/>
        <v>0</v>
      </c>
      <c r="K261" s="52">
        <f t="shared" si="67"/>
        <v>0</v>
      </c>
      <c r="L261" s="52">
        <f t="shared" si="67"/>
        <v>0</v>
      </c>
      <c r="M261" s="52">
        <f t="shared" si="67"/>
        <v>0</v>
      </c>
      <c r="N261" s="52">
        <f t="shared" si="67"/>
        <v>0</v>
      </c>
      <c r="O261" s="53" t="str">
        <f t="shared" si="67"/>
        <v/>
      </c>
      <c r="P261" s="54">
        <f>IF(P260="","",P260/P255)</f>
        <v>0</v>
      </c>
      <c r="Q261" s="50"/>
      <c r="R261" s="18"/>
    </row>
    <row r="262" spans="2:18" ht="15.75" customHeight="1" x14ac:dyDescent="0.2">
      <c r="B262" s="161" t="s">
        <v>97</v>
      </c>
      <c r="C262" s="158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4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4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4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4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4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4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4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4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4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4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4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4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4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5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9" t="s">
        <v>18</v>
      </c>
      <c r="C295" s="160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2" t="s">
        <v>104</v>
      </c>
      <c r="R295" s="18"/>
    </row>
    <row r="296" spans="2:18" ht="15.75" customHeight="1" thickBot="1" x14ac:dyDescent="0.3">
      <c r="B296" s="151" t="s">
        <v>67</v>
      </c>
      <c r="C296" s="152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3"/>
      <c r="R296" s="18"/>
    </row>
    <row r="297" spans="2:18" ht="12.75" customHeight="1" thickBot="1" x14ac:dyDescent="0.25">
      <c r="B297" s="153" t="s">
        <v>38</v>
      </c>
      <c r="C297" s="154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1017</v>
      </c>
      <c r="H297" s="43">
        <f>VLOOKUP($B296,[5]Complaints!$A$4:$AJ$39,2)</f>
        <v>976</v>
      </c>
      <c r="I297" s="43">
        <f>VLOOKUP($B296,[6]Complaints!$A$4:$AJ$39,2)</f>
        <v>1154</v>
      </c>
      <c r="J297" s="43">
        <f>VLOOKUP($B296,[7]Complaints!$A$4:$AJ$39,2)</f>
        <v>1167</v>
      </c>
      <c r="K297" s="43">
        <f>VLOOKUP($B296,[8]Complaints!$A$4:$AJ$39,2)</f>
        <v>1167</v>
      </c>
      <c r="L297" s="43">
        <f>VLOOKUP($B296,[9]Complaints!$A$4:$AJ$39,2)</f>
        <v>999</v>
      </c>
      <c r="M297" s="43">
        <f>VLOOKUP($B296,[10]Complaints!$A$4:$AJ$39,2)</f>
        <v>819</v>
      </c>
      <c r="N297" s="43">
        <f>VLOOKUP($B296,[11]Complaints!$A$4:$AJ$39,2)</f>
        <v>748</v>
      </c>
      <c r="O297" s="44">
        <f>VLOOKUP($B296,[12]Complaints!$A$4:$AJ$39,2)</f>
        <v>0</v>
      </c>
      <c r="P297" s="45">
        <f>SUM(D297:O297)</f>
        <v>9416</v>
      </c>
      <c r="Q297" s="46"/>
      <c r="R297" s="18"/>
    </row>
    <row r="298" spans="2:18" ht="15.75" customHeight="1" x14ac:dyDescent="0.2">
      <c r="B298" s="155" t="s">
        <v>94</v>
      </c>
      <c r="C298" s="156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3</v>
      </c>
      <c r="H298" s="48">
        <f>VLOOKUP($B296,[5]Complaints!$A$4:$AG$39,3,)</f>
        <v>1</v>
      </c>
      <c r="I298" s="48">
        <f>VLOOKUP($B296,[6]Complaints!$A$4:$AG$39,3,)</f>
        <v>2</v>
      </c>
      <c r="J298" s="48">
        <f>VLOOKUP($B296,[7]Complaints!$A$4:$AG$39,3,)</f>
        <v>3</v>
      </c>
      <c r="K298" s="48">
        <f>VLOOKUP($B296,[8]Complaints!$A$4:$AG$39,3,)</f>
        <v>3</v>
      </c>
      <c r="L298" s="48">
        <f>VLOOKUP($B296,[9]Complaints!$A$4:$AG$39,3,)</f>
        <v>0</v>
      </c>
      <c r="M298" s="48">
        <f>VLOOKUP($B296,[10]Complaints!$A$4:$AG$39,3,)</f>
        <v>1</v>
      </c>
      <c r="N298" s="48">
        <f>VLOOKUP($B296,[11]Complaints!$A$4:$AG$39,3,)</f>
        <v>0</v>
      </c>
      <c r="O298" s="49">
        <f>VLOOKUP($B296,[12]Complaints!$A$4:$AG$39,3,)</f>
        <v>0</v>
      </c>
      <c r="P298" s="45">
        <f>SUM(D298:O298)</f>
        <v>16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>
        <f t="shared" si="74"/>
        <v>2.9498525073746312E-3</v>
      </c>
      <c r="H299" s="52">
        <f t="shared" si="74"/>
        <v>1.0245901639344263E-3</v>
      </c>
      <c r="I299" s="52">
        <f t="shared" si="74"/>
        <v>1.7331022530329288E-3</v>
      </c>
      <c r="J299" s="52">
        <f t="shared" si="74"/>
        <v>2.5706940874035988E-3</v>
      </c>
      <c r="K299" s="52">
        <f t="shared" si="74"/>
        <v>2.5706940874035988E-3</v>
      </c>
      <c r="L299" s="52">
        <f t="shared" si="74"/>
        <v>0</v>
      </c>
      <c r="M299" s="52">
        <f t="shared" si="74"/>
        <v>1.221001221001221E-3</v>
      </c>
      <c r="N299" s="52">
        <f t="shared" si="74"/>
        <v>0</v>
      </c>
      <c r="O299" s="53" t="str">
        <f t="shared" si="74"/>
        <v/>
      </c>
      <c r="P299" s="54">
        <f>IF(P298="","",P298/P297)</f>
        <v>1.6992353440951572E-3</v>
      </c>
      <c r="Q299" s="50"/>
      <c r="R299" s="18"/>
    </row>
    <row r="300" spans="2:18" s="21" customFormat="1" ht="15.75" customHeight="1" x14ac:dyDescent="0.2">
      <c r="B300" s="157" t="s">
        <v>95</v>
      </c>
      <c r="C300" s="158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1</v>
      </c>
      <c r="H300" s="48">
        <f>VLOOKUP($B296,[5]Complaints!$A$4:$AG$39,4,)</f>
        <v>0</v>
      </c>
      <c r="I300" s="48">
        <f>VLOOKUP($B296,[6]Complaints!$A$4:$AG$39,4,)</f>
        <v>1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4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>
        <f t="shared" si="76"/>
        <v>9.8328416912487715E-4</v>
      </c>
      <c r="H301" s="52">
        <f t="shared" si="76"/>
        <v>0</v>
      </c>
      <c r="I301" s="52">
        <f t="shared" si="76"/>
        <v>8.6655112651646442E-4</v>
      </c>
      <c r="J301" s="52">
        <f t="shared" si="76"/>
        <v>0</v>
      </c>
      <c r="K301" s="52">
        <f t="shared" si="76"/>
        <v>0</v>
      </c>
      <c r="L301" s="52">
        <f t="shared" si="76"/>
        <v>0</v>
      </c>
      <c r="M301" s="52">
        <f t="shared" si="76"/>
        <v>0</v>
      </c>
      <c r="N301" s="52">
        <f t="shared" si="76"/>
        <v>0</v>
      </c>
      <c r="O301" s="53" t="str">
        <f t="shared" si="76"/>
        <v/>
      </c>
      <c r="P301" s="54">
        <f>IF(P300="","",P300/P297)</f>
        <v>4.248088360237893E-4</v>
      </c>
      <c r="Q301" s="50"/>
      <c r="R301" s="18"/>
    </row>
    <row r="302" spans="2:18" ht="15.75" customHeight="1" x14ac:dyDescent="0.2">
      <c r="B302" s="157" t="s">
        <v>96</v>
      </c>
      <c r="C302" s="158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2</v>
      </c>
      <c r="H302" s="48">
        <f>VLOOKUP($B296,[5]Complaints!$A$4:$AG$39,5,)</f>
        <v>1</v>
      </c>
      <c r="I302" s="48">
        <f>VLOOKUP($B296,[6]Complaints!$A$4:$AG$39,5,)</f>
        <v>1</v>
      </c>
      <c r="J302" s="48">
        <f>VLOOKUP($B296,[7]Complaints!$A$4:$AG$39,5,)</f>
        <v>3</v>
      </c>
      <c r="K302" s="48">
        <f>VLOOKUP($B296,[8]Complaints!$A$4:$AG$39,5,)</f>
        <v>3</v>
      </c>
      <c r="L302" s="48">
        <f>VLOOKUP($B296,[9]Complaints!$A$4:$AG$39,5,)</f>
        <v>0</v>
      </c>
      <c r="M302" s="48">
        <f>VLOOKUP($B296,[10]Complaints!$A$4:$AG$39,5,)</f>
        <v>1</v>
      </c>
      <c r="N302" s="48">
        <f>VLOOKUP($B296,[11]Complaints!$A$4:$AG$39,5,)</f>
        <v>0</v>
      </c>
      <c r="O302" s="49">
        <f>VLOOKUP($B296,[12]Complaints!$A$4:$AG$39,5,)</f>
        <v>0</v>
      </c>
      <c r="P302" s="55">
        <f t="shared" ref="P302" si="77">SUM(D302:O302)</f>
        <v>12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>
        <f t="shared" si="78"/>
        <v>1.9665683382497543E-3</v>
      </c>
      <c r="H303" s="52">
        <f t="shared" si="78"/>
        <v>1.0245901639344263E-3</v>
      </c>
      <c r="I303" s="52">
        <f t="shared" si="78"/>
        <v>8.6655112651646442E-4</v>
      </c>
      <c r="J303" s="52">
        <f t="shared" si="78"/>
        <v>2.5706940874035988E-3</v>
      </c>
      <c r="K303" s="52">
        <f t="shared" si="78"/>
        <v>2.5706940874035988E-3</v>
      </c>
      <c r="L303" s="52">
        <f t="shared" si="78"/>
        <v>0</v>
      </c>
      <c r="M303" s="52">
        <f t="shared" si="78"/>
        <v>1.221001221001221E-3</v>
      </c>
      <c r="N303" s="52">
        <f t="shared" si="78"/>
        <v>0</v>
      </c>
      <c r="O303" s="53" t="str">
        <f t="shared" si="78"/>
        <v/>
      </c>
      <c r="P303" s="54">
        <f>IF(P302="","",P302/P297)</f>
        <v>1.2744265080713679E-3</v>
      </c>
      <c r="Q303" s="50"/>
      <c r="R303" s="18"/>
    </row>
    <row r="304" spans="2:18" ht="15.75" customHeight="1" x14ac:dyDescent="0.2">
      <c r="B304" s="161" t="s">
        <v>97</v>
      </c>
      <c r="C304" s="158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2</v>
      </c>
      <c r="H304" s="48">
        <f>VLOOKUP($B296,[5]Complaints!$A$4:$AG$39,6,)</f>
        <v>0</v>
      </c>
      <c r="I304" s="48">
        <f>VLOOKUP($B296,[6]Complaints!$A$4:$AG$39,6,)</f>
        <v>1</v>
      </c>
      <c r="J304" s="48">
        <f>VLOOKUP($B296,[7]Complaints!$A$4:$AG$39,6,)</f>
        <v>3</v>
      </c>
      <c r="K304" s="48">
        <f>VLOOKUP($B296,[8]Complaints!$A$4:$AG$39,6,)</f>
        <v>3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0</v>
      </c>
      <c r="P304" s="55">
        <f t="shared" ref="P304" si="79">SUM(D304:O304)</f>
        <v>11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>
        <f t="shared" si="80"/>
        <v>1</v>
      </c>
      <c r="H305" s="57" t="str">
        <f t="shared" si="80"/>
        <v/>
      </c>
      <c r="I305" s="57">
        <f>IF(I304=0,"",I304/I302)</f>
        <v>1</v>
      </c>
      <c r="J305" s="57">
        <f t="shared" ref="J305:O305" si="81">IF(J304=0,"",J304/J302)</f>
        <v>1</v>
      </c>
      <c r="K305" s="57">
        <f t="shared" si="81"/>
        <v>1</v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 t="str">
        <f t="shared" si="81"/>
        <v/>
      </c>
      <c r="P305" s="59">
        <f>IF(P304=0,"",P304/P302)</f>
        <v>0.91666666666666663</v>
      </c>
      <c r="Q305" s="60"/>
      <c r="R305" s="18"/>
    </row>
    <row r="306" spans="2:18" ht="15.75" customHeight="1" x14ac:dyDescent="0.2">
      <c r="B306" s="14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4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1</v>
      </c>
      <c r="L307" s="48">
        <f>VLOOKUP($B296,[9]Complaints!$A$4:$AJ$39,8,)</f>
        <v>0</v>
      </c>
      <c r="M307" s="48">
        <f>VLOOKUP($B296,[10]Complaints!$A$4:$AJ$39,8,)</f>
        <v>1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2</v>
      </c>
      <c r="Q307" s="50">
        <f>IF(P307="","",P307/$P298)</f>
        <v>0.125</v>
      </c>
      <c r="R307" s="18"/>
    </row>
    <row r="308" spans="2:18" ht="15.75" customHeight="1" x14ac:dyDescent="0.2">
      <c r="B308" s="14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6.25E-2</v>
      </c>
      <c r="R308" s="18"/>
    </row>
    <row r="309" spans="2:18" ht="15.75" customHeight="1" x14ac:dyDescent="0.2">
      <c r="B309" s="14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1</v>
      </c>
      <c r="H309" s="48">
        <f>VLOOKUP($B296,[5]Complaints!$A$4:$AJ$39,10,)</f>
        <v>0</v>
      </c>
      <c r="I309" s="48">
        <f>VLOOKUP($B296,[6]Complaints!$A$4:$AJ$39,10,)</f>
        <v>1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3</v>
      </c>
      <c r="Q309" s="50">
        <f>IF(P309=0,"",P309/$P298)</f>
        <v>0.1875</v>
      </c>
      <c r="R309" s="18"/>
    </row>
    <row r="310" spans="2:18" ht="15.75" customHeight="1" x14ac:dyDescent="0.2">
      <c r="B310" s="14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1</v>
      </c>
      <c r="J310" s="48">
        <f>VLOOKUP($B296,[7]Complaints!$A$4:$AJ$39,11,)</f>
        <v>1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0</v>
      </c>
      <c r="P310" s="55">
        <f t="shared" ref="P310:P319" si="83">SUM(D310:O310)</f>
        <v>2</v>
      </c>
      <c r="Q310" s="50">
        <f>IF(P310=0,"",P310/$P298)</f>
        <v>0.125</v>
      </c>
      <c r="R310" s="18"/>
    </row>
    <row r="311" spans="2:18" s="19" customFormat="1" ht="15.75" customHeight="1" x14ac:dyDescent="0.2">
      <c r="B311" s="14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6.25E-2</v>
      </c>
    </row>
    <row r="312" spans="2:18" ht="15.75" customHeight="1" x14ac:dyDescent="0.2">
      <c r="B312" s="14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1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1</v>
      </c>
      <c r="Q312" s="50">
        <f>IF(P312=0,"",P312/$P298)</f>
        <v>6.25E-2</v>
      </c>
      <c r="R312" s="18"/>
    </row>
    <row r="313" spans="2:18" ht="15.75" customHeight="1" x14ac:dyDescent="0.2">
      <c r="B313" s="14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4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1</v>
      </c>
      <c r="H314" s="48">
        <f>VLOOKUP($B296,[5]Complaints!$A$4:$AJ$39,15,)</f>
        <v>1</v>
      </c>
      <c r="I314" s="48">
        <f>VLOOKUP($B296,[6]Complaints!$A$4:$AJ$39,15,)</f>
        <v>0</v>
      </c>
      <c r="J314" s="48">
        <f>VLOOKUP($B296,[7]Complaints!$A$4:$AJ$39,15,)</f>
        <v>2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4</v>
      </c>
      <c r="Q314" s="50">
        <f>IF(P314=0,"",P314/$P298)</f>
        <v>0.25</v>
      </c>
      <c r="R314" s="18"/>
    </row>
    <row r="315" spans="2:18" ht="15.75" customHeight="1" x14ac:dyDescent="0.2">
      <c r="B315" s="14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4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4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4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5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1</v>
      </c>
      <c r="H320" s="63">
        <f>VLOOKUP($B296,[5]Complaints!$A$4:$AJ$39,21,)</f>
        <v>0</v>
      </c>
      <c r="I320" s="63">
        <f>VLOOKUP($B296,[6]Complaints!$A$4:$AJ$39,21,)</f>
        <v>2</v>
      </c>
      <c r="J320" s="63">
        <f>VLOOKUP($B296,[7]Complaints!$A$4:$AJ$39,21,)</f>
        <v>1</v>
      </c>
      <c r="K320" s="63">
        <f>VLOOKUP($B296,[8]Complaints!$A$4:$AJ$39,21,)</f>
        <v>1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0</v>
      </c>
      <c r="P320" s="65">
        <f>SUM(D320:O320)</f>
        <v>7</v>
      </c>
      <c r="Q320" s="46">
        <f>IF(P320=0,"",P320/$P304)</f>
        <v>0.63636363636363635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9.0909090909090912E-2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1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1</v>
      </c>
      <c r="Q324" s="70">
        <f>IF(P324=0,"",P324/$P304)</f>
        <v>9.0909090909090912E-2</v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1</v>
      </c>
      <c r="J326" s="72">
        <f>VLOOKUP($B296,[7]Complaints!$A$4:$AJ$39,27,)</f>
        <v>1</v>
      </c>
      <c r="K326" s="72">
        <f>VLOOKUP($B296,[8]Complaints!$A$4:$AJ$39,27,)</f>
        <v>1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0</v>
      </c>
      <c r="P326" s="69">
        <f t="shared" si="84"/>
        <v>3</v>
      </c>
      <c r="Q326" s="70">
        <f>IF(P326=0,"",P326/$P304)</f>
        <v>0.27272727272727271</v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9.0909090909090912E-2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1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1</v>
      </c>
      <c r="Q328" s="70">
        <f>IF(P328=0,"",P328/$P304)</f>
        <v>9.0909090909090912E-2</v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1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2</v>
      </c>
      <c r="K330" s="75">
        <f>VLOOKUP($B296,[8]Complaints!$A$4:$AJ$39,31,)</f>
        <v>2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5</v>
      </c>
      <c r="Q330" s="50">
        <f>IF(P330=0,"",P330/$P304)</f>
        <v>0.45454545454545453</v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1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2</v>
      </c>
      <c r="K331" s="67">
        <f>VLOOKUP($B296,[8]Complaints!$A$4:$AJ$39,32,)</f>
        <v>2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5</v>
      </c>
      <c r="Q331" s="70">
        <f>IF(P331=0,"",P331/$P304)</f>
        <v>0.45454545454545453</v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9" t="s">
        <v>19</v>
      </c>
      <c r="C337" s="160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2" t="s">
        <v>104</v>
      </c>
      <c r="R337" s="18"/>
    </row>
    <row r="338" spans="2:18" ht="15.75" customHeight="1" thickBot="1" x14ac:dyDescent="0.3">
      <c r="B338" s="151" t="s">
        <v>66</v>
      </c>
      <c r="C338" s="152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3"/>
      <c r="R338" s="18"/>
    </row>
    <row r="339" spans="2:18" ht="12.75" customHeight="1" thickBot="1" x14ac:dyDescent="0.25">
      <c r="B339" s="153" t="s">
        <v>38</v>
      </c>
      <c r="C339" s="154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769</v>
      </c>
      <c r="H339" s="43">
        <f>VLOOKUP($B338,[5]Complaints!$A$4:$AJ$39,2)</f>
        <v>931</v>
      </c>
      <c r="I339" s="43">
        <f>VLOOKUP($B338,[6]Complaints!$A$4:$AJ$39,2)</f>
        <v>1179</v>
      </c>
      <c r="J339" s="43">
        <f>VLOOKUP($B338,[7]Complaints!$A$4:$AJ$39,2)</f>
        <v>1042</v>
      </c>
      <c r="K339" s="43">
        <f>VLOOKUP($B338,[8]Complaints!$A$4:$AJ$39,2)</f>
        <v>1042</v>
      </c>
      <c r="L339" s="43">
        <f>VLOOKUP($B338,[9]Complaints!$A$4:$AJ$39,2)</f>
        <v>988</v>
      </c>
      <c r="M339" s="43">
        <f>VLOOKUP($B338,[10]Complaints!$A$4:$AJ$39,2)</f>
        <v>707</v>
      </c>
      <c r="N339" s="43">
        <f>VLOOKUP($B338,[11]Complaints!$A$4:$AJ$39,2)</f>
        <v>741</v>
      </c>
      <c r="O339" s="44">
        <f>VLOOKUP($B338,[12]Complaints!$A$4:$AJ$39,2)</f>
        <v>0</v>
      </c>
      <c r="P339" s="45">
        <f>SUM(D339:O339)</f>
        <v>8521</v>
      </c>
      <c r="Q339" s="46"/>
      <c r="R339" s="18"/>
    </row>
    <row r="340" spans="2:18" ht="15.75" customHeight="1" x14ac:dyDescent="0.2">
      <c r="B340" s="155" t="s">
        <v>94</v>
      </c>
      <c r="C340" s="156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1</v>
      </c>
      <c r="H340" s="48">
        <f>VLOOKUP($B338,[5]Complaints!$A$4:$AG$39,3,)</f>
        <v>2</v>
      </c>
      <c r="I340" s="48">
        <f>VLOOKUP($B338,[6]Complaints!$A$4:$AG$39,3,)</f>
        <v>3</v>
      </c>
      <c r="J340" s="48">
        <f>VLOOKUP($B338,[7]Complaints!$A$4:$AG$39,3,)</f>
        <v>1</v>
      </c>
      <c r="K340" s="48">
        <f>VLOOKUP($B338,[8]Complaints!$A$4:$AG$39,3,)</f>
        <v>1</v>
      </c>
      <c r="L340" s="48">
        <f>VLOOKUP($B338,[9]Complaints!$A$4:$AG$39,3,)</f>
        <v>1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0</v>
      </c>
      <c r="P340" s="45">
        <f>SUM(D340:O340)</f>
        <v>13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>
        <f t="shared" si="85"/>
        <v>1.3003901170351106E-3</v>
      </c>
      <c r="H341" s="52">
        <f t="shared" si="85"/>
        <v>2.1482277121374865E-3</v>
      </c>
      <c r="I341" s="52">
        <f t="shared" si="85"/>
        <v>2.5445292620865142E-3</v>
      </c>
      <c r="J341" s="52">
        <f t="shared" si="85"/>
        <v>9.5969289827255275E-4</v>
      </c>
      <c r="K341" s="52">
        <f t="shared" si="85"/>
        <v>9.5969289827255275E-4</v>
      </c>
      <c r="L341" s="52">
        <f t="shared" si="85"/>
        <v>1.0121457489878543E-3</v>
      </c>
      <c r="M341" s="52">
        <f t="shared" si="85"/>
        <v>0</v>
      </c>
      <c r="N341" s="52">
        <f t="shared" si="85"/>
        <v>0</v>
      </c>
      <c r="O341" s="53" t="str">
        <f t="shared" si="85"/>
        <v/>
      </c>
      <c r="P341" s="54">
        <f>IF(P340="","",P340/P339)</f>
        <v>1.5256425302194578E-3</v>
      </c>
      <c r="Q341" s="50"/>
      <c r="R341" s="18"/>
    </row>
    <row r="342" spans="2:18" s="21" customFormat="1" ht="15.75" customHeight="1" x14ac:dyDescent="0.2">
      <c r="B342" s="157" t="s">
        <v>95</v>
      </c>
      <c r="C342" s="158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1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2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>
        <f t="shared" si="87"/>
        <v>0</v>
      </c>
      <c r="H343" s="52">
        <f t="shared" si="87"/>
        <v>0</v>
      </c>
      <c r="I343" s="52">
        <f t="shared" si="87"/>
        <v>8.4817642069550466E-4</v>
      </c>
      <c r="J343" s="52">
        <f t="shared" si="87"/>
        <v>0</v>
      </c>
      <c r="K343" s="52">
        <f t="shared" si="87"/>
        <v>0</v>
      </c>
      <c r="L343" s="52">
        <f t="shared" si="87"/>
        <v>0</v>
      </c>
      <c r="M343" s="52">
        <f t="shared" si="87"/>
        <v>0</v>
      </c>
      <c r="N343" s="52">
        <f t="shared" si="87"/>
        <v>0</v>
      </c>
      <c r="O343" s="53" t="str">
        <f t="shared" si="87"/>
        <v/>
      </c>
      <c r="P343" s="54">
        <f>IF(P342="","",P342/P339)</f>
        <v>2.3471423541837811E-4</v>
      </c>
      <c r="Q343" s="50"/>
      <c r="R343" s="18"/>
    </row>
    <row r="344" spans="2:18" ht="15.75" customHeight="1" x14ac:dyDescent="0.2">
      <c r="B344" s="157" t="s">
        <v>96</v>
      </c>
      <c r="C344" s="158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1</v>
      </c>
      <c r="H344" s="48">
        <f>VLOOKUP($B338,[5]Complaints!$A$4:$AG$39,5,)</f>
        <v>2</v>
      </c>
      <c r="I344" s="48">
        <f>VLOOKUP($B338,[6]Complaints!$A$4:$AG$39,5,)</f>
        <v>2</v>
      </c>
      <c r="J344" s="48">
        <f>VLOOKUP($B338,[7]Complaints!$A$4:$AG$39,5,)</f>
        <v>1</v>
      </c>
      <c r="K344" s="48">
        <f>VLOOKUP($B338,[8]Complaints!$A$4:$AG$39,5,)</f>
        <v>1</v>
      </c>
      <c r="L344" s="48">
        <f>VLOOKUP($B338,[9]Complaints!$A$4:$AG$39,5,)</f>
        <v>1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0</v>
      </c>
      <c r="P344" s="55">
        <f t="shared" ref="P344" si="88">SUM(D344:O344)</f>
        <v>11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>
        <f t="shared" si="89"/>
        <v>1.3003901170351106E-3</v>
      </c>
      <c r="H345" s="52">
        <f t="shared" si="89"/>
        <v>2.1482277121374865E-3</v>
      </c>
      <c r="I345" s="52">
        <f t="shared" si="89"/>
        <v>1.6963528413910093E-3</v>
      </c>
      <c r="J345" s="52">
        <f t="shared" si="89"/>
        <v>9.5969289827255275E-4</v>
      </c>
      <c r="K345" s="52">
        <f t="shared" si="89"/>
        <v>9.5969289827255275E-4</v>
      </c>
      <c r="L345" s="52">
        <f t="shared" si="89"/>
        <v>1.0121457489878543E-3</v>
      </c>
      <c r="M345" s="52">
        <f t="shared" si="89"/>
        <v>0</v>
      </c>
      <c r="N345" s="52">
        <f t="shared" si="89"/>
        <v>0</v>
      </c>
      <c r="O345" s="53" t="str">
        <f t="shared" si="89"/>
        <v/>
      </c>
      <c r="P345" s="54">
        <f>IF(P344="","",P344/P339)</f>
        <v>1.2909282948010796E-3</v>
      </c>
      <c r="Q345" s="50"/>
      <c r="R345" s="18"/>
    </row>
    <row r="346" spans="2:18" ht="15.75" customHeight="1" x14ac:dyDescent="0.2">
      <c r="B346" s="161" t="s">
        <v>97</v>
      </c>
      <c r="C346" s="158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1</v>
      </c>
      <c r="H346" s="48">
        <f>VLOOKUP($B338,[5]Complaints!$A$4:$AG$39,6,)</f>
        <v>0</v>
      </c>
      <c r="I346" s="48">
        <f>VLOOKUP($B338,[6]Complaints!$A$4:$AG$39,6,)</f>
        <v>1</v>
      </c>
      <c r="J346" s="48">
        <f>VLOOKUP($B338,[7]Complaints!$A$4:$AG$39,6,)</f>
        <v>1</v>
      </c>
      <c r="K346" s="48">
        <f>VLOOKUP($B338,[8]Complaints!$A$4:$AG$39,6,)</f>
        <v>1</v>
      </c>
      <c r="L346" s="48">
        <f>VLOOKUP($B338,[9]Complaints!$A$4:$AG$39,6,)</f>
        <v>1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8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>
        <f t="shared" si="91"/>
        <v>1</v>
      </c>
      <c r="H347" s="57" t="str">
        <f t="shared" si="91"/>
        <v/>
      </c>
      <c r="I347" s="57">
        <f>IF(I346=0,"",I346/I344)</f>
        <v>0.5</v>
      </c>
      <c r="J347" s="57">
        <f t="shared" ref="J347:O347" si="92">IF(J346=0,"",J346/J344)</f>
        <v>1</v>
      </c>
      <c r="K347" s="57">
        <f t="shared" si="92"/>
        <v>1</v>
      </c>
      <c r="L347" s="57">
        <f t="shared" si="92"/>
        <v>1</v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0.72727272727272729</v>
      </c>
      <c r="Q347" s="60"/>
      <c r="R347" s="18"/>
    </row>
    <row r="348" spans="2:18" ht="15.75" customHeight="1" x14ac:dyDescent="0.2">
      <c r="B348" s="14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4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2</v>
      </c>
      <c r="I349" s="48">
        <f>VLOOKUP($B338,[6]Complaints!$A$4:$AJ$39,8,)</f>
        <v>2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1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0</v>
      </c>
      <c r="P349" s="55">
        <f t="shared" ref="P349:P350" si="93">SUM(D349:O349)</f>
        <v>6</v>
      </c>
      <c r="Q349" s="50">
        <f>IF(P349="","",P349/$P340)</f>
        <v>0.46153846153846156</v>
      </c>
      <c r="R349" s="18"/>
    </row>
    <row r="350" spans="2:18" ht="15.75" customHeight="1" x14ac:dyDescent="0.2">
      <c r="B350" s="14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1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1</v>
      </c>
      <c r="Q350" s="50">
        <f>IF(P350=0,"",P350/$P340)</f>
        <v>7.6923076923076927E-2</v>
      </c>
      <c r="R350" s="18"/>
    </row>
    <row r="351" spans="2:18" ht="15.75" customHeight="1" x14ac:dyDescent="0.2">
      <c r="B351" s="14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7.6923076923076927E-2</v>
      </c>
      <c r="R351" s="18"/>
    </row>
    <row r="352" spans="2:18" ht="15.75" customHeight="1" x14ac:dyDescent="0.2">
      <c r="B352" s="14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4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1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1</v>
      </c>
      <c r="Q353" s="50">
        <f>IF(P353=0,"",P353/$P340)</f>
        <v>7.6923076923076927E-2</v>
      </c>
    </row>
    <row r="354" spans="1:19" ht="15.75" customHeight="1" x14ac:dyDescent="0.2">
      <c r="B354" s="14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1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1</v>
      </c>
      <c r="Q354" s="50">
        <f>IF(P354=0,"",P354/$P340)</f>
        <v>7.6923076923076927E-2</v>
      </c>
      <c r="R354" s="18"/>
    </row>
    <row r="355" spans="1:19" ht="15.75" customHeight="1" x14ac:dyDescent="0.2">
      <c r="B355" s="14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4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0.15384615384615385</v>
      </c>
      <c r="R356" s="18"/>
    </row>
    <row r="357" spans="1:19" ht="15.75" customHeight="1" x14ac:dyDescent="0.2">
      <c r="B357" s="14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4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4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4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5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1</v>
      </c>
      <c r="H362" s="63">
        <f>VLOOKUP($B338,[5]Complaints!$A$4:$AJ$39,21,)</f>
        <v>0</v>
      </c>
      <c r="I362" s="63">
        <f>VLOOKUP($B338,[6]Complaints!$A$4:$AJ$39,21,)</f>
        <v>1</v>
      </c>
      <c r="J362" s="63">
        <f>VLOOKUP($B338,[7]Complaints!$A$4:$AJ$39,21,)</f>
        <v>1</v>
      </c>
      <c r="K362" s="63">
        <f>VLOOKUP($B338,[8]Complaints!$A$4:$AJ$39,21,)</f>
        <v>1</v>
      </c>
      <c r="L362" s="63">
        <f>VLOOKUP($B338,[9]Complaints!$A$4:$AJ$39,21,)</f>
        <v>1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6</v>
      </c>
      <c r="Q362" s="46">
        <f>IF(P362=0,"",P362/$P346)</f>
        <v>0.75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1</v>
      </c>
      <c r="K363" s="67">
        <f>VLOOKUP($B338,[8]Complaints!$A$4:$AJ$39,22,)</f>
        <v>1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2</v>
      </c>
      <c r="Q363" s="70">
        <f>IF(P363=0,"",P363/$P346)</f>
        <v>0.25</v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1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1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3</v>
      </c>
      <c r="Q364" s="70">
        <f>IF(P364=0,"",P364/$P346)</f>
        <v>0.375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1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1</v>
      </c>
      <c r="Q370" s="70">
        <f>IF(P370=0,"",P370/$P346)</f>
        <v>0.125</v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0.25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0.25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9" t="s">
        <v>20</v>
      </c>
      <c r="C379" s="160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2" t="s">
        <v>104</v>
      </c>
      <c r="R379" s="18"/>
      <c r="S379" s="21"/>
    </row>
    <row r="380" spans="2:19" s="19" customFormat="1" ht="15.75" customHeight="1" thickBot="1" x14ac:dyDescent="0.3">
      <c r="B380" s="151" t="s">
        <v>65</v>
      </c>
      <c r="C380" s="152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3"/>
      <c r="S380" s="18"/>
    </row>
    <row r="381" spans="2:19" ht="12.75" customHeight="1" thickBot="1" x14ac:dyDescent="0.25">
      <c r="B381" s="153" t="s">
        <v>38</v>
      </c>
      <c r="C381" s="154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391</v>
      </c>
      <c r="H381" s="43">
        <f>VLOOKUP($B380,[5]Complaints!$A$4:$AJ$39,2)</f>
        <v>512</v>
      </c>
      <c r="I381" s="43">
        <f>VLOOKUP($B380,[6]Complaints!$A$4:$AJ$39,2)</f>
        <v>627</v>
      </c>
      <c r="J381" s="43">
        <f>VLOOKUP($B380,[7]Complaints!$A$4:$AJ$39,2)</f>
        <v>704</v>
      </c>
      <c r="K381" s="43">
        <f>VLOOKUP($B380,[8]Complaints!$A$4:$AJ$39,2)</f>
        <v>704</v>
      </c>
      <c r="L381" s="43">
        <f>VLOOKUP($B380,[9]Complaints!$A$4:$AJ$39,2)</f>
        <v>668</v>
      </c>
      <c r="M381" s="43">
        <f>VLOOKUP($B380,[10]Complaints!$A$4:$AJ$39,2)</f>
        <v>533</v>
      </c>
      <c r="N381" s="43">
        <f>VLOOKUP($B380,[11]Complaints!$A$4:$AJ$39,2)</f>
        <v>535</v>
      </c>
      <c r="O381" s="44">
        <f>VLOOKUP($B380,[12]Complaints!$A$4:$AJ$39,2)</f>
        <v>0</v>
      </c>
      <c r="P381" s="45">
        <f>SUM(D381:O381)</f>
        <v>5263</v>
      </c>
      <c r="Q381" s="46"/>
      <c r="R381" s="18"/>
    </row>
    <row r="382" spans="2:19" ht="15.75" customHeight="1" x14ac:dyDescent="0.2">
      <c r="B382" s="155" t="s">
        <v>94</v>
      </c>
      <c r="C382" s="156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1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1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>
        <f t="shared" si="96"/>
        <v>0</v>
      </c>
      <c r="H383" s="52">
        <f t="shared" si="96"/>
        <v>0</v>
      </c>
      <c r="I383" s="52">
        <f t="shared" si="96"/>
        <v>0</v>
      </c>
      <c r="J383" s="52">
        <f t="shared" si="96"/>
        <v>0</v>
      </c>
      <c r="K383" s="52">
        <f t="shared" si="96"/>
        <v>0</v>
      </c>
      <c r="L383" s="52">
        <f t="shared" si="96"/>
        <v>1.4970059880239522E-3</v>
      </c>
      <c r="M383" s="52">
        <f t="shared" si="96"/>
        <v>0</v>
      </c>
      <c r="N383" s="52">
        <f t="shared" si="96"/>
        <v>0</v>
      </c>
      <c r="O383" s="53" t="str">
        <f t="shared" si="96"/>
        <v/>
      </c>
      <c r="P383" s="54">
        <f>IF(P382="","",P382/P381)</f>
        <v>1.9000570017100514E-4</v>
      </c>
      <c r="Q383" s="50"/>
      <c r="R383" s="18"/>
    </row>
    <row r="384" spans="2:19" s="21" customFormat="1" ht="15.75" customHeight="1" x14ac:dyDescent="0.2">
      <c r="B384" s="157" t="s">
        <v>95</v>
      </c>
      <c r="C384" s="158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>
        <f t="shared" si="98"/>
        <v>0</v>
      </c>
      <c r="H385" s="52">
        <f t="shared" si="98"/>
        <v>0</v>
      </c>
      <c r="I385" s="52">
        <f t="shared" si="98"/>
        <v>0</v>
      </c>
      <c r="J385" s="52">
        <f t="shared" si="98"/>
        <v>0</v>
      </c>
      <c r="K385" s="52">
        <f t="shared" si="98"/>
        <v>0</v>
      </c>
      <c r="L385" s="52">
        <f t="shared" si="98"/>
        <v>0</v>
      </c>
      <c r="M385" s="52">
        <f t="shared" si="98"/>
        <v>0</v>
      </c>
      <c r="N385" s="52">
        <f t="shared" si="98"/>
        <v>0</v>
      </c>
      <c r="O385" s="53" t="str">
        <f t="shared" si="98"/>
        <v/>
      </c>
      <c r="P385" s="54">
        <f>IF(P384="","",P384/P381)</f>
        <v>0</v>
      </c>
      <c r="Q385" s="50"/>
      <c r="R385" s="18"/>
    </row>
    <row r="386" spans="2:18" ht="15.75" customHeight="1" x14ac:dyDescent="0.2">
      <c r="B386" s="157" t="s">
        <v>96</v>
      </c>
      <c r="C386" s="158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1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1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>
        <f t="shared" si="100"/>
        <v>0</v>
      </c>
      <c r="H387" s="52">
        <f t="shared" si="100"/>
        <v>0</v>
      </c>
      <c r="I387" s="52">
        <f t="shared" si="100"/>
        <v>0</v>
      </c>
      <c r="J387" s="52">
        <f t="shared" si="100"/>
        <v>0</v>
      </c>
      <c r="K387" s="52">
        <f t="shared" si="100"/>
        <v>0</v>
      </c>
      <c r="L387" s="52">
        <f t="shared" si="100"/>
        <v>1.4970059880239522E-3</v>
      </c>
      <c r="M387" s="52">
        <f t="shared" si="100"/>
        <v>0</v>
      </c>
      <c r="N387" s="52">
        <f t="shared" si="100"/>
        <v>0</v>
      </c>
      <c r="O387" s="53" t="str">
        <f t="shared" si="100"/>
        <v/>
      </c>
      <c r="P387" s="54">
        <f>IF(P386="","",P386/P381)</f>
        <v>1.9000570017100514E-4</v>
      </c>
      <c r="Q387" s="50"/>
      <c r="R387" s="18"/>
    </row>
    <row r="388" spans="2:18" ht="15.75" customHeight="1" x14ac:dyDescent="0.2">
      <c r="B388" s="161" t="s">
        <v>97</v>
      </c>
      <c r="C388" s="158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1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1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>
        <f t="shared" si="103"/>
        <v>1</v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>
        <f>IF(P388=0,"",P388/P386)</f>
        <v>1</v>
      </c>
      <c r="Q389" s="60"/>
      <c r="R389" s="18"/>
    </row>
    <row r="390" spans="2:18" ht="15.75" customHeight="1" x14ac:dyDescent="0.2">
      <c r="B390" s="14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4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1</v>
      </c>
      <c r="L391" s="48">
        <f>VLOOKUP($B380,[9]Complaints!$A$4:$AJ$39,8,)</f>
        <v>1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2</v>
      </c>
      <c r="Q391" s="50">
        <f>IF(P391="","",P391/$P382)</f>
        <v>2</v>
      </c>
      <c r="R391" s="18"/>
    </row>
    <row r="392" spans="2:18" ht="15.75" customHeight="1" x14ac:dyDescent="0.2">
      <c r="B392" s="14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4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4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4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4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4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4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4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4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4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4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5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1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1</v>
      </c>
      <c r="Q404" s="46">
        <f>IF(P404=0,"",P404/$P388)</f>
        <v>1</v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1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1</v>
      </c>
      <c r="Q406" s="70">
        <f>IF(P406=0,"",P406/$P388)</f>
        <v>1</v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9" t="s">
        <v>44</v>
      </c>
      <c r="C421" s="160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2" t="s">
        <v>104</v>
      </c>
      <c r="R421" s="18"/>
      <c r="S421" s="19"/>
    </row>
    <row r="422" spans="2:19" ht="15.75" customHeight="1" thickBot="1" x14ac:dyDescent="0.3">
      <c r="B422" s="151" t="s">
        <v>64</v>
      </c>
      <c r="C422" s="152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3"/>
      <c r="R422" s="18"/>
    </row>
    <row r="423" spans="2:19" ht="12.75" customHeight="1" thickBot="1" x14ac:dyDescent="0.25">
      <c r="B423" s="153" t="s">
        <v>38</v>
      </c>
      <c r="C423" s="154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1395</v>
      </c>
      <c r="H423" s="43">
        <f>VLOOKUP($B422,[5]Complaints!$A$4:$AJ$39,2)</f>
        <v>1674</v>
      </c>
      <c r="I423" s="43">
        <f>VLOOKUP($B422,[6]Complaints!$A$4:$AJ$39,2)</f>
        <v>1941</v>
      </c>
      <c r="J423" s="43">
        <f>VLOOKUP($B422,[7]Complaints!$A$4:$AJ$39,2)</f>
        <v>1978</v>
      </c>
      <c r="K423" s="43">
        <f>VLOOKUP($B422,[8]Complaints!$A$4:$AJ$39,2)</f>
        <v>1978</v>
      </c>
      <c r="L423" s="43">
        <f>VLOOKUP($B422,[9]Complaints!$A$4:$AJ$39,2)</f>
        <v>1638</v>
      </c>
      <c r="M423" s="43">
        <f>VLOOKUP($B422,[10]Complaints!$A$4:$AJ$39,2)</f>
        <v>1136</v>
      </c>
      <c r="N423" s="43">
        <f>VLOOKUP($B422,[11]Complaints!$A$4:$AJ$39,2)</f>
        <v>1207</v>
      </c>
      <c r="O423" s="44">
        <f>VLOOKUP($B422,[12]Complaints!$A$4:$AJ$39,2)</f>
        <v>0</v>
      </c>
      <c r="P423" s="45">
        <f>SUM(D423:O423)</f>
        <v>14613</v>
      </c>
      <c r="Q423" s="46"/>
      <c r="R423" s="18"/>
    </row>
    <row r="424" spans="2:19" ht="15.75" customHeight="1" x14ac:dyDescent="0.2">
      <c r="B424" s="155" t="s">
        <v>94</v>
      </c>
      <c r="C424" s="156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1</v>
      </c>
      <c r="H424" s="48">
        <f>VLOOKUP($B422,[5]Complaints!$A$4:$AG$39,3,)</f>
        <v>2</v>
      </c>
      <c r="I424" s="48">
        <f>VLOOKUP($B422,[6]Complaints!$A$4:$AG$39,3,)</f>
        <v>0</v>
      </c>
      <c r="J424" s="48">
        <f>VLOOKUP($B422,[7]Complaints!$A$4:$AG$39,3,)</f>
        <v>1</v>
      </c>
      <c r="K424" s="48">
        <f>VLOOKUP($B422,[8]Complaints!$A$4:$AG$39,3,)</f>
        <v>1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1</v>
      </c>
      <c r="O424" s="49">
        <f>VLOOKUP($B422,[12]Complaints!$A$4:$AG$39,3,)</f>
        <v>0</v>
      </c>
      <c r="P424" s="45">
        <f>SUM(D424:O424)</f>
        <v>7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>
        <f t="shared" si="107"/>
        <v>7.1684587813620072E-4</v>
      </c>
      <c r="H425" s="52">
        <f t="shared" si="107"/>
        <v>1.1947431302270011E-3</v>
      </c>
      <c r="I425" s="52">
        <f t="shared" si="107"/>
        <v>0</v>
      </c>
      <c r="J425" s="52">
        <f t="shared" si="107"/>
        <v>5.0556117290192115E-4</v>
      </c>
      <c r="K425" s="52">
        <f t="shared" si="107"/>
        <v>5.0556117290192115E-4</v>
      </c>
      <c r="L425" s="52">
        <f t="shared" si="107"/>
        <v>0</v>
      </c>
      <c r="M425" s="52">
        <f t="shared" si="107"/>
        <v>0</v>
      </c>
      <c r="N425" s="52">
        <f t="shared" si="107"/>
        <v>8.2850041425020708E-4</v>
      </c>
      <c r="O425" s="53" t="str">
        <f t="shared" si="107"/>
        <v/>
      </c>
      <c r="P425" s="54">
        <f>IF(P424="","",P424/P423)</f>
        <v>4.7902552521727229E-4</v>
      </c>
      <c r="Q425" s="50"/>
      <c r="R425" s="18"/>
    </row>
    <row r="426" spans="2:19" s="21" customFormat="1" ht="15.75" customHeight="1" x14ac:dyDescent="0.2">
      <c r="B426" s="157" t="s">
        <v>95</v>
      </c>
      <c r="C426" s="158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1</v>
      </c>
      <c r="I426" s="48">
        <f>VLOOKUP($B422,[6]Complaints!$A$4:$AG$39,4,)</f>
        <v>0</v>
      </c>
      <c r="J426" s="48">
        <f>VLOOKUP($B422,[7]Complaints!$A$4:$AG$39,4,)</f>
        <v>1</v>
      </c>
      <c r="K426" s="48">
        <f>VLOOKUP($B422,[8]Complaints!$A$4:$AG$39,4,)</f>
        <v>1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4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>
        <f t="shared" si="109"/>
        <v>0</v>
      </c>
      <c r="H427" s="52">
        <f t="shared" si="109"/>
        <v>5.9737156511350056E-4</v>
      </c>
      <c r="I427" s="52">
        <f t="shared" si="109"/>
        <v>0</v>
      </c>
      <c r="J427" s="52">
        <f t="shared" si="109"/>
        <v>5.0556117290192115E-4</v>
      </c>
      <c r="K427" s="52">
        <f t="shared" si="109"/>
        <v>5.0556117290192115E-4</v>
      </c>
      <c r="L427" s="52">
        <f t="shared" si="109"/>
        <v>0</v>
      </c>
      <c r="M427" s="52">
        <f t="shared" si="109"/>
        <v>0</v>
      </c>
      <c r="N427" s="52">
        <f t="shared" si="109"/>
        <v>0</v>
      </c>
      <c r="O427" s="53" t="str">
        <f t="shared" si="109"/>
        <v/>
      </c>
      <c r="P427" s="54">
        <f>IF(P426="","",P426/P423)</f>
        <v>2.7372887155272701E-4</v>
      </c>
      <c r="Q427" s="50"/>
      <c r="R427" s="18"/>
    </row>
    <row r="428" spans="2:19" ht="15.75" customHeight="1" x14ac:dyDescent="0.2">
      <c r="B428" s="157" t="s">
        <v>96</v>
      </c>
      <c r="C428" s="158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1</v>
      </c>
      <c r="H428" s="48">
        <f>VLOOKUP($B422,[5]Complaints!$A$4:$AG$39,5,)</f>
        <v>1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1</v>
      </c>
      <c r="O428" s="49">
        <f>VLOOKUP($B422,[12]Complaints!$A$4:$AG$39,5,)</f>
        <v>0</v>
      </c>
      <c r="P428" s="55">
        <f t="shared" ref="P428" si="110">SUM(D428:O428)</f>
        <v>3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>
        <f t="shared" si="111"/>
        <v>7.1684587813620072E-4</v>
      </c>
      <c r="H429" s="52">
        <f t="shared" si="111"/>
        <v>5.9737156511350056E-4</v>
      </c>
      <c r="I429" s="52">
        <f t="shared" si="111"/>
        <v>0</v>
      </c>
      <c r="J429" s="52">
        <f t="shared" si="111"/>
        <v>0</v>
      </c>
      <c r="K429" s="52">
        <f t="shared" si="111"/>
        <v>0</v>
      </c>
      <c r="L429" s="52">
        <f t="shared" si="111"/>
        <v>0</v>
      </c>
      <c r="M429" s="52">
        <f t="shared" si="111"/>
        <v>0</v>
      </c>
      <c r="N429" s="52">
        <f t="shared" si="111"/>
        <v>8.2850041425020708E-4</v>
      </c>
      <c r="O429" s="53" t="str">
        <f t="shared" si="111"/>
        <v/>
      </c>
      <c r="P429" s="54">
        <f>IF(P428="","",P428/P423)</f>
        <v>2.0529665366454526E-4</v>
      </c>
      <c r="Q429" s="50"/>
      <c r="R429" s="18"/>
    </row>
    <row r="430" spans="2:19" ht="15.75" customHeight="1" x14ac:dyDescent="0.2">
      <c r="B430" s="161" t="s">
        <v>97</v>
      </c>
      <c r="C430" s="158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1</v>
      </c>
      <c r="H430" s="48">
        <f>VLOOKUP($B422,[5]Complaints!$A$4:$AG$39,6,)</f>
        <v>2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1</v>
      </c>
      <c r="O430" s="49">
        <f>VLOOKUP($B422,[12]Complaints!$A$4:$AG$39,6,)</f>
        <v>0</v>
      </c>
      <c r="P430" s="55">
        <f t="shared" ref="P430" si="112">SUM(D430:O430)</f>
        <v>4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>
        <f t="shared" si="113"/>
        <v>1</v>
      </c>
      <c r="H431" s="57">
        <f t="shared" si="113"/>
        <v>2</v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>
        <f t="shared" si="114"/>
        <v>1</v>
      </c>
      <c r="O431" s="58" t="str">
        <f t="shared" si="114"/>
        <v/>
      </c>
      <c r="P431" s="59">
        <f>IF(P430=0,"",P430/P428)</f>
        <v>1.3333333333333333</v>
      </c>
      <c r="Q431" s="60"/>
      <c r="R431" s="18"/>
    </row>
    <row r="432" spans="2:19" ht="15.75" customHeight="1" x14ac:dyDescent="0.2">
      <c r="B432" s="14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1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1</v>
      </c>
      <c r="Q432" s="46">
        <f>IF(P432=0,"",P432/$P424)</f>
        <v>0.14285714285714285</v>
      </c>
      <c r="R432" s="18"/>
    </row>
    <row r="433" spans="2:18" ht="15.75" customHeight="1" x14ac:dyDescent="0.2">
      <c r="B433" s="14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1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1</v>
      </c>
      <c r="Q433" s="50">
        <f>IF(P433="","",P433/$P424)</f>
        <v>0.14285714285714285</v>
      </c>
      <c r="R433" s="18"/>
    </row>
    <row r="434" spans="2:18" ht="15.75" customHeight="1" x14ac:dyDescent="0.2">
      <c r="B434" s="14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4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1</v>
      </c>
      <c r="K435" s="48">
        <f>VLOOKUP($B422,[8]Complaints!$A$4:$AJ$39,10,)</f>
        <v>1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3</v>
      </c>
      <c r="Q435" s="50">
        <f>IF(P435=0,"",P435/$P424)</f>
        <v>0.42857142857142855</v>
      </c>
      <c r="R435" s="18"/>
    </row>
    <row r="436" spans="2:18" ht="15.75" customHeight="1" x14ac:dyDescent="0.2">
      <c r="B436" s="14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1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1</v>
      </c>
      <c r="Q436" s="50">
        <f>IF(P436=0,"",P436/$P424)</f>
        <v>0.14285714285714285</v>
      </c>
      <c r="R436" s="18"/>
    </row>
    <row r="437" spans="2:18" s="19" customFormat="1" ht="15.75" customHeight="1" x14ac:dyDescent="0.2">
      <c r="B437" s="14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1</v>
      </c>
      <c r="O437" s="49">
        <f>VLOOKUP($B422,[12]Complaints!$A$4:$AJ$39,12,)</f>
        <v>0</v>
      </c>
      <c r="P437" s="55">
        <f t="shared" si="116"/>
        <v>1</v>
      </c>
      <c r="Q437" s="50">
        <f>IF(P437=0,"",P437/$P424)</f>
        <v>0.14285714285714285</v>
      </c>
    </row>
    <row r="438" spans="2:18" ht="15.75" customHeight="1" x14ac:dyDescent="0.2">
      <c r="B438" s="14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4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4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4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4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4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4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5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1</v>
      </c>
      <c r="H446" s="63">
        <f>VLOOKUP($B422,[5]Complaints!$A$4:$AJ$39,21,)</f>
        <v>2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1</v>
      </c>
      <c r="O446" s="64">
        <f>VLOOKUP($B422,[12]Complaints!$A$4:$AJ$39,21,)</f>
        <v>0</v>
      </c>
      <c r="P446" s="65">
        <f>SUM(D446:O446)</f>
        <v>4</v>
      </c>
      <c r="Q446" s="46">
        <f>IF(P446=0,"",P446/$P430)</f>
        <v>1</v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1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1</v>
      </c>
      <c r="Q447" s="70">
        <f>IF(P447=0,"",P447/$P430)</f>
        <v>0.25</v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1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1</v>
      </c>
      <c r="Q448" s="70">
        <f>IF(P448=0,"",P448/$P430)</f>
        <v>0.25</v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1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1</v>
      </c>
      <c r="Q452" s="70">
        <f>IF(P452=0,"",P452/$P430)</f>
        <v>0.25</v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1</v>
      </c>
      <c r="O453" s="73">
        <f>VLOOKUP($B422,[12]Complaints!$A$4:$AJ$39,28,)</f>
        <v>0</v>
      </c>
      <c r="P453" s="69">
        <f t="shared" si="117"/>
        <v>1</v>
      </c>
      <c r="Q453" s="70">
        <f>IF(P453=0,"",P453/$P430)</f>
        <v>0.25</v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9" t="s">
        <v>21</v>
      </c>
      <c r="C463" s="160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2" t="s">
        <v>104</v>
      </c>
      <c r="R463" s="18"/>
    </row>
    <row r="464" spans="1:19" ht="15.75" customHeight="1" thickBot="1" x14ac:dyDescent="0.3">
      <c r="B464" s="151" t="s">
        <v>63</v>
      </c>
      <c r="C464" s="152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3"/>
      <c r="R464" s="18"/>
    </row>
    <row r="465" spans="2:18" ht="12.75" customHeight="1" thickBot="1" x14ac:dyDescent="0.25">
      <c r="B465" s="153" t="s">
        <v>38</v>
      </c>
      <c r="C465" s="154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2113</v>
      </c>
      <c r="H465" s="43">
        <f>VLOOKUP($B464,[5]Complaints!$A$4:$AJ$39,2)</f>
        <v>2394</v>
      </c>
      <c r="I465" s="43">
        <f>VLOOKUP($B464,[6]Complaints!$A$4:$AJ$39,2)</f>
        <v>2528</v>
      </c>
      <c r="J465" s="43">
        <f>VLOOKUP($B464,[7]Complaints!$A$4:$AJ$39,2)</f>
        <v>2536</v>
      </c>
      <c r="K465" s="43">
        <f>VLOOKUP($B464,[8]Complaints!$A$4:$AJ$39,2)</f>
        <v>2536</v>
      </c>
      <c r="L465" s="43">
        <f>VLOOKUP($B464,[9]Complaints!$A$4:$AJ$39,2)</f>
        <v>2474</v>
      </c>
      <c r="M465" s="43">
        <f>VLOOKUP($B464,[10]Complaints!$A$4:$AJ$39,2)</f>
        <v>1790</v>
      </c>
      <c r="N465" s="43">
        <f>VLOOKUP($B464,[11]Complaints!$A$4:$AJ$39,2)</f>
        <v>2094</v>
      </c>
      <c r="O465" s="44">
        <f>VLOOKUP($B464,[12]Complaints!$A$4:$AJ$39,2)</f>
        <v>0</v>
      </c>
      <c r="P465" s="45">
        <f>SUM(D465:O465)</f>
        <v>21443</v>
      </c>
      <c r="Q465" s="46"/>
      <c r="R465" s="18"/>
    </row>
    <row r="466" spans="2:18" ht="15.75" customHeight="1" x14ac:dyDescent="0.2">
      <c r="B466" s="155" t="s">
        <v>94</v>
      </c>
      <c r="C466" s="156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4</v>
      </c>
      <c r="H466" s="48">
        <f>VLOOKUP($B464,[5]Complaints!$A$4:$AG$39,3,)</f>
        <v>3</v>
      </c>
      <c r="I466" s="48">
        <f>VLOOKUP($B464,[6]Complaints!$A$4:$AG$39,3,)</f>
        <v>1</v>
      </c>
      <c r="J466" s="48">
        <f>VLOOKUP($B464,[7]Complaints!$A$4:$AG$39,3,)</f>
        <v>5</v>
      </c>
      <c r="K466" s="48">
        <f>VLOOKUP($B464,[8]Complaints!$A$4:$AG$39,3,)</f>
        <v>5</v>
      </c>
      <c r="L466" s="48">
        <f>VLOOKUP($B464,[9]Complaints!$A$4:$AG$39,3,)</f>
        <v>1</v>
      </c>
      <c r="M466" s="48">
        <f>VLOOKUP($B464,[10]Complaints!$A$4:$AG$39,3,)</f>
        <v>2</v>
      </c>
      <c r="N466" s="48">
        <f>VLOOKUP($B464,[11]Complaints!$A$4:$AG$39,3,)</f>
        <v>2</v>
      </c>
      <c r="O466" s="49">
        <f>VLOOKUP($B464,[12]Complaints!$A$4:$AG$39,3,)</f>
        <v>0</v>
      </c>
      <c r="P466" s="45">
        <f>SUM(D466:O466)</f>
        <v>26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>
        <f t="shared" si="118"/>
        <v>1.893043066729768E-3</v>
      </c>
      <c r="H467" s="52">
        <f t="shared" si="118"/>
        <v>1.2531328320802004E-3</v>
      </c>
      <c r="I467" s="52">
        <f t="shared" si="118"/>
        <v>3.9556962025316455E-4</v>
      </c>
      <c r="J467" s="52">
        <f t="shared" si="118"/>
        <v>1.9716088328075709E-3</v>
      </c>
      <c r="K467" s="52">
        <f t="shared" si="118"/>
        <v>1.9716088328075709E-3</v>
      </c>
      <c r="L467" s="52">
        <f t="shared" si="118"/>
        <v>4.0420371867421178E-4</v>
      </c>
      <c r="M467" s="52">
        <f t="shared" si="118"/>
        <v>1.1173184357541898E-3</v>
      </c>
      <c r="N467" s="52">
        <f t="shared" si="118"/>
        <v>9.5510983763132757E-4</v>
      </c>
      <c r="O467" s="53" t="str">
        <f t="shared" si="118"/>
        <v/>
      </c>
      <c r="P467" s="54">
        <f>IF(P466="","",P466/P465)</f>
        <v>1.2125169052837755E-3</v>
      </c>
      <c r="Q467" s="50"/>
      <c r="R467" s="18"/>
    </row>
    <row r="468" spans="2:18" s="21" customFormat="1" ht="15.75" customHeight="1" x14ac:dyDescent="0.2">
      <c r="B468" s="157" t="s">
        <v>95</v>
      </c>
      <c r="C468" s="158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1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2</v>
      </c>
      <c r="K468" s="48">
        <f>VLOOKUP($B464,[8]Complaints!$A$4:$AG$39,4,)</f>
        <v>2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1</v>
      </c>
      <c r="O468" s="49">
        <f>VLOOKUP($B464,[12]Complaints!$A$4:$AG$39,4,)</f>
        <v>0</v>
      </c>
      <c r="P468" s="55">
        <f t="shared" ref="P468" si="119">SUM(D468:O468)</f>
        <v>8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>
        <f t="shared" si="120"/>
        <v>4.7326076668244201E-4</v>
      </c>
      <c r="H469" s="52">
        <f t="shared" si="120"/>
        <v>0</v>
      </c>
      <c r="I469" s="52">
        <f t="shared" si="120"/>
        <v>0</v>
      </c>
      <c r="J469" s="52">
        <f t="shared" si="120"/>
        <v>7.8864353312302837E-4</v>
      </c>
      <c r="K469" s="52">
        <f t="shared" si="120"/>
        <v>7.8864353312302837E-4</v>
      </c>
      <c r="L469" s="52">
        <f t="shared" si="120"/>
        <v>0</v>
      </c>
      <c r="M469" s="52">
        <f t="shared" si="120"/>
        <v>0</v>
      </c>
      <c r="N469" s="52">
        <f t="shared" si="120"/>
        <v>4.7755491881566379E-4</v>
      </c>
      <c r="O469" s="53" t="str">
        <f t="shared" si="120"/>
        <v/>
      </c>
      <c r="P469" s="54">
        <f>IF(P468="","",P468/P465)</f>
        <v>3.7308212470270016E-4</v>
      </c>
      <c r="Q469" s="50"/>
      <c r="R469" s="18"/>
    </row>
    <row r="470" spans="2:18" ht="15.75" customHeight="1" x14ac:dyDescent="0.2">
      <c r="B470" s="157" t="s">
        <v>96</v>
      </c>
      <c r="C470" s="158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3</v>
      </c>
      <c r="H470" s="48">
        <f>VLOOKUP($B464,[5]Complaints!$A$4:$AG$39,5,)</f>
        <v>3</v>
      </c>
      <c r="I470" s="48">
        <f>VLOOKUP($B464,[6]Complaints!$A$4:$AG$39,5,)</f>
        <v>1</v>
      </c>
      <c r="J470" s="48">
        <f>VLOOKUP($B464,[7]Complaints!$A$4:$AG$39,5,)</f>
        <v>3</v>
      </c>
      <c r="K470" s="48">
        <f>VLOOKUP($B464,[8]Complaints!$A$4:$AG$39,5,)</f>
        <v>3</v>
      </c>
      <c r="L470" s="48">
        <f>VLOOKUP($B464,[9]Complaints!$A$4:$AG$39,5,)</f>
        <v>1</v>
      </c>
      <c r="M470" s="48">
        <f>VLOOKUP($B464,[10]Complaints!$A$4:$AG$39,5,)</f>
        <v>2</v>
      </c>
      <c r="N470" s="48">
        <f>VLOOKUP($B464,[11]Complaints!$A$4:$AG$39,5,)</f>
        <v>1</v>
      </c>
      <c r="O470" s="49">
        <f>VLOOKUP($B464,[12]Complaints!$A$4:$AG$39,5,)</f>
        <v>0</v>
      </c>
      <c r="P470" s="55">
        <f t="shared" ref="P470" si="121">SUM(D470:O470)</f>
        <v>18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>
        <f t="shared" si="122"/>
        <v>1.419782300047326E-3</v>
      </c>
      <c r="H471" s="52">
        <f t="shared" si="122"/>
        <v>1.2531328320802004E-3</v>
      </c>
      <c r="I471" s="52">
        <f t="shared" si="122"/>
        <v>3.9556962025316455E-4</v>
      </c>
      <c r="J471" s="52">
        <f t="shared" si="122"/>
        <v>1.1829652996845426E-3</v>
      </c>
      <c r="K471" s="52">
        <f t="shared" si="122"/>
        <v>1.1829652996845426E-3</v>
      </c>
      <c r="L471" s="52">
        <f t="shared" si="122"/>
        <v>4.0420371867421178E-4</v>
      </c>
      <c r="M471" s="52">
        <f t="shared" si="122"/>
        <v>1.1173184357541898E-3</v>
      </c>
      <c r="N471" s="52">
        <f t="shared" si="122"/>
        <v>4.7755491881566379E-4</v>
      </c>
      <c r="O471" s="53" t="str">
        <f t="shared" si="122"/>
        <v/>
      </c>
      <c r="P471" s="54">
        <f>IF(P470="","",P470/P465)</f>
        <v>8.3943478058107538E-4</v>
      </c>
      <c r="Q471" s="50"/>
      <c r="R471" s="18"/>
    </row>
    <row r="472" spans="2:18" ht="15.75" customHeight="1" x14ac:dyDescent="0.2">
      <c r="B472" s="161" t="s">
        <v>97</v>
      </c>
      <c r="C472" s="158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1</v>
      </c>
      <c r="H472" s="48">
        <f>VLOOKUP($B464,[5]Complaints!$A$4:$AG$39,6,)</f>
        <v>0</v>
      </c>
      <c r="I472" s="48">
        <f>VLOOKUP($B464,[6]Complaints!$A$4:$AG$39,6,)</f>
        <v>1</v>
      </c>
      <c r="J472" s="48">
        <f>VLOOKUP($B464,[7]Complaints!$A$4:$AG$39,6,)</f>
        <v>2</v>
      </c>
      <c r="K472" s="48">
        <f>VLOOKUP($B464,[8]Complaints!$A$4:$AG$39,6,)</f>
        <v>2</v>
      </c>
      <c r="L472" s="48">
        <f>VLOOKUP($B464,[9]Complaints!$A$4:$AG$39,6,)</f>
        <v>0</v>
      </c>
      <c r="M472" s="48">
        <f>VLOOKUP($B464,[10]Complaints!$A$4:$AG$39,6,)</f>
        <v>2</v>
      </c>
      <c r="N472" s="48">
        <f>VLOOKUP($B464,[11]Complaints!$A$4:$AG$39,6,)</f>
        <v>1</v>
      </c>
      <c r="O472" s="49">
        <f>VLOOKUP($B464,[12]Complaints!$A$4:$AG$39,6,)</f>
        <v>0</v>
      </c>
      <c r="P472" s="55">
        <f t="shared" ref="P472" si="123">SUM(D472:O472)</f>
        <v>9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>
        <f t="shared" si="124"/>
        <v>0.33333333333333331</v>
      </c>
      <c r="H473" s="57" t="str">
        <f t="shared" si="124"/>
        <v/>
      </c>
      <c r="I473" s="57">
        <f>IF(I472=0,"",I472/I470)</f>
        <v>1</v>
      </c>
      <c r="J473" s="57">
        <f t="shared" ref="J473:O473" si="125">IF(J472=0,"",J472/J470)</f>
        <v>0.66666666666666663</v>
      </c>
      <c r="K473" s="57">
        <f t="shared" si="125"/>
        <v>0.66666666666666663</v>
      </c>
      <c r="L473" s="57" t="str">
        <f t="shared" si="125"/>
        <v/>
      </c>
      <c r="M473" s="57">
        <f t="shared" si="125"/>
        <v>1</v>
      </c>
      <c r="N473" s="57">
        <f t="shared" si="125"/>
        <v>1</v>
      </c>
      <c r="O473" s="58" t="str">
        <f t="shared" si="125"/>
        <v/>
      </c>
      <c r="P473" s="59">
        <f>IF(P472=0,"",P472/P470)</f>
        <v>0.5</v>
      </c>
      <c r="Q473" s="60"/>
      <c r="R473" s="18"/>
    </row>
    <row r="474" spans="2:18" ht="15.75" customHeight="1" x14ac:dyDescent="0.2">
      <c r="B474" s="14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1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1</v>
      </c>
      <c r="Q474" s="46">
        <f>IF(P474=0,"",P474/$P466)</f>
        <v>3.8461538461538464E-2</v>
      </c>
      <c r="R474" s="18"/>
    </row>
    <row r="475" spans="2:18" ht="15.75" customHeight="1" x14ac:dyDescent="0.2">
      <c r="B475" s="14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3</v>
      </c>
      <c r="H475" s="48">
        <f>VLOOKUP($B464,[5]Complaints!$A$4:$AJ$39,8,)</f>
        <v>1</v>
      </c>
      <c r="I475" s="48">
        <f>VLOOKUP($B464,[6]Complaints!$A$4:$AJ$39,8,)</f>
        <v>0</v>
      </c>
      <c r="J475" s="48">
        <f>VLOOKUP($B464,[7]Complaints!$A$4:$AJ$39,8,)</f>
        <v>2</v>
      </c>
      <c r="K475" s="48">
        <f>VLOOKUP($B464,[8]Complaints!$A$4:$AJ$39,8,)</f>
        <v>1</v>
      </c>
      <c r="L475" s="48">
        <f>VLOOKUP($B464,[9]Complaints!$A$4:$AJ$39,8,)</f>
        <v>1</v>
      </c>
      <c r="M475" s="48">
        <f>VLOOKUP($B464,[10]Complaints!$A$4:$AJ$39,8,)</f>
        <v>0</v>
      </c>
      <c r="N475" s="48">
        <f>VLOOKUP($B464,[11]Complaints!$A$4:$AJ$39,8,)</f>
        <v>1</v>
      </c>
      <c r="O475" s="49">
        <f>VLOOKUP($B464,[12]Complaints!$A$4:$AJ$39,8,)</f>
        <v>0</v>
      </c>
      <c r="P475" s="55">
        <f t="shared" ref="P475:P476" si="126">SUM(D475:O475)</f>
        <v>10</v>
      </c>
      <c r="Q475" s="50">
        <f>IF(P475="","",P475/$P466)</f>
        <v>0.38461538461538464</v>
      </c>
      <c r="R475" s="18"/>
    </row>
    <row r="476" spans="2:18" ht="15.75" customHeight="1" x14ac:dyDescent="0.2">
      <c r="B476" s="14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4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2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1</v>
      </c>
      <c r="O477" s="49">
        <f>VLOOKUP($B464,[12]Complaints!$A$4:$AJ$39,10,)</f>
        <v>0</v>
      </c>
      <c r="P477" s="55">
        <f>SUM(D477:O477)</f>
        <v>5</v>
      </c>
      <c r="Q477" s="50">
        <f>IF(P477=0,"",P477/$P466)</f>
        <v>0.19230769230769232</v>
      </c>
      <c r="R477" s="18"/>
    </row>
    <row r="478" spans="2:18" ht="15.75" customHeight="1" x14ac:dyDescent="0.2">
      <c r="B478" s="14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1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1</v>
      </c>
      <c r="Q478" s="50">
        <f>IF(P478=0,"",P478/$P466)</f>
        <v>3.8461538461538464E-2</v>
      </c>
      <c r="R478" s="18"/>
    </row>
    <row r="479" spans="2:18" s="19" customFormat="1" ht="15.75" customHeight="1" x14ac:dyDescent="0.2">
      <c r="B479" s="14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1</v>
      </c>
      <c r="I479" s="48">
        <f>VLOOKUP($B464,[6]Complaints!$A$4:$AJ$39,12,)</f>
        <v>0</v>
      </c>
      <c r="J479" s="48">
        <f>VLOOKUP($B464,[7]Complaints!$A$4:$AJ$39,12,)</f>
        <v>1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1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3</v>
      </c>
      <c r="Q479" s="50">
        <f>IF(P479=0,"",P479/$P466)</f>
        <v>0.11538461538461539</v>
      </c>
    </row>
    <row r="480" spans="2:18" ht="15.75" customHeight="1" x14ac:dyDescent="0.2">
      <c r="B480" s="14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4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4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1</v>
      </c>
      <c r="I482" s="48">
        <f>VLOOKUP($B464,[6]Complaints!$A$4:$AJ$39,15,)</f>
        <v>1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1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3</v>
      </c>
      <c r="Q482" s="50">
        <f>IF(P482=0,"",P482/$P466)</f>
        <v>0.11538461538461539</v>
      </c>
      <c r="R482" s="18"/>
    </row>
    <row r="483" spans="1:19" ht="15.75" customHeight="1" x14ac:dyDescent="0.2">
      <c r="B483" s="14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4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4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4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5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1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1</v>
      </c>
      <c r="K488" s="63">
        <f>VLOOKUP($B464,[8]Complaints!$A$4:$AJ$39,21,)</f>
        <v>1</v>
      </c>
      <c r="L488" s="63">
        <f>VLOOKUP($B464,[9]Complaints!$A$4:$AJ$39,21,)</f>
        <v>0</v>
      </c>
      <c r="M488" s="63">
        <f>VLOOKUP($B464,[10]Complaints!$A$4:$AJ$39,21,)</f>
        <v>1</v>
      </c>
      <c r="N488" s="63">
        <f>VLOOKUP($B464,[11]Complaints!$A$4:$AJ$39,21,)</f>
        <v>1</v>
      </c>
      <c r="O488" s="64">
        <f>VLOOKUP($B464,[12]Complaints!$A$4:$AJ$39,21,)</f>
        <v>0</v>
      </c>
      <c r="P488" s="65">
        <f>SUM(D488:O488)</f>
        <v>5</v>
      </c>
      <c r="Q488" s="46">
        <f>IF(P488=0,"",P488/$P472)</f>
        <v>0.55555555555555558</v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1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1</v>
      </c>
      <c r="Q489" s="70">
        <f>IF(P489=0,"",P489/$P472)</f>
        <v>0.1111111111111111</v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1</v>
      </c>
      <c r="K490" s="67">
        <f>VLOOKUP($B464,[8]Complaints!$A$4:$AJ$39,23,)</f>
        <v>1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0</v>
      </c>
      <c r="P490" s="69">
        <f t="shared" si="128"/>
        <v>2</v>
      </c>
      <c r="Q490" s="70">
        <f>IF(P490=0,"",P490/$P472)</f>
        <v>0.22222222222222221</v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1</v>
      </c>
      <c r="O492" s="68">
        <f>VLOOKUP($B464,[12]Complaints!$A$4:$AJ$39,25,)</f>
        <v>0</v>
      </c>
      <c r="P492" s="69">
        <f t="shared" si="128"/>
        <v>1</v>
      </c>
      <c r="Q492" s="70">
        <f>IF(P492=0,"",P492/$P472)</f>
        <v>0.1111111111111111</v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1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1</v>
      </c>
      <c r="Q495" s="70">
        <f>IF(P495=0,"",P495/$P472)</f>
        <v>0.1111111111111111</v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1</v>
      </c>
      <c r="J498" s="75">
        <f>VLOOKUP($B464,[7]Complaints!$A$4:$AJ$39,31,)</f>
        <v>1</v>
      </c>
      <c r="K498" s="75">
        <f>VLOOKUP($B464,[8]Complaints!$A$4:$AJ$39,31,)</f>
        <v>1</v>
      </c>
      <c r="L498" s="75">
        <f>VLOOKUP($B464,[9]Complaints!$A$4:$AJ$39,31,)</f>
        <v>0</v>
      </c>
      <c r="M498" s="75">
        <f>VLOOKUP($B464,[10]Complaints!$A$4:$AJ$39,31,)</f>
        <v>1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4</v>
      </c>
      <c r="Q498" s="50">
        <f>IF(P498=0,"",P498/$P472)</f>
        <v>0.44444444444444442</v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1</v>
      </c>
      <c r="K499" s="67">
        <f>VLOOKUP($B464,[8]Complaints!$A$4:$AJ$39,32,)</f>
        <v>1</v>
      </c>
      <c r="L499" s="67">
        <f>VLOOKUP($B464,[9]Complaints!$A$4:$AJ$39,32,)</f>
        <v>0</v>
      </c>
      <c r="M499" s="67">
        <f>VLOOKUP($B464,[10]Complaints!$A$4:$AJ$39,32,)</f>
        <v>1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3</v>
      </c>
      <c r="Q499" s="70">
        <f>IF(P499=0,"",P499/$P472)</f>
        <v>0.33333333333333331</v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1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1</v>
      </c>
      <c r="Q502" s="70">
        <f>IF(P502=0,"",P502/$P472)</f>
        <v>0.1111111111111111</v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9" t="s">
        <v>41</v>
      </c>
      <c r="C505" s="160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2" t="s">
        <v>104</v>
      </c>
      <c r="R505" s="18"/>
    </row>
    <row r="506" spans="2:18" ht="15.75" customHeight="1" thickBot="1" x14ac:dyDescent="0.3">
      <c r="B506" s="151" t="s">
        <v>62</v>
      </c>
      <c r="C506" s="152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3"/>
      <c r="R506" s="18"/>
    </row>
    <row r="507" spans="2:18" ht="12.75" customHeight="1" thickBot="1" x14ac:dyDescent="0.25">
      <c r="B507" s="153" t="s">
        <v>38</v>
      </c>
      <c r="C507" s="154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1178</v>
      </c>
      <c r="H507" s="43">
        <f>VLOOKUP($B506,[5]Complaints!$A$4:$AJ$39,2)</f>
        <v>1453</v>
      </c>
      <c r="I507" s="43">
        <f>VLOOKUP($B506,[6]Complaints!$A$4:$AJ$39,2)</f>
        <v>1398</v>
      </c>
      <c r="J507" s="43">
        <f>VLOOKUP($B506,[7]Complaints!$A$4:$AJ$39,2)</f>
        <v>1499</v>
      </c>
      <c r="K507" s="43">
        <f>VLOOKUP($B506,[8]Complaints!$A$4:$AJ$39,2)</f>
        <v>1499</v>
      </c>
      <c r="L507" s="43">
        <f>VLOOKUP($B506,[9]Complaints!$A$4:$AJ$39,2)</f>
        <v>1366</v>
      </c>
      <c r="M507" s="43">
        <f>VLOOKUP($B506,[10]Complaints!$A$4:$AJ$39,2)</f>
        <v>1096</v>
      </c>
      <c r="N507" s="43">
        <f>VLOOKUP($B506,[11]Complaints!$A$4:$AJ$39,2)</f>
        <v>1116</v>
      </c>
      <c r="O507" s="44">
        <f>VLOOKUP($B506,[12]Complaints!$A$4:$AJ$39,2)</f>
        <v>0</v>
      </c>
      <c r="P507" s="45">
        <f>SUM(D507:O507)</f>
        <v>12113</v>
      </c>
      <c r="Q507" s="46"/>
      <c r="R507" s="18"/>
    </row>
    <row r="508" spans="2:18" ht="15.75" customHeight="1" x14ac:dyDescent="0.2">
      <c r="B508" s="155" t="s">
        <v>94</v>
      </c>
      <c r="C508" s="156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1</v>
      </c>
      <c r="H508" s="48">
        <f>VLOOKUP($B506,[5]Complaints!$A$4:$AG$39,3,)</f>
        <v>4</v>
      </c>
      <c r="I508" s="48">
        <f>VLOOKUP($B506,[6]Complaints!$A$4:$AG$39,3,)</f>
        <v>1</v>
      </c>
      <c r="J508" s="48">
        <f>VLOOKUP($B506,[7]Complaints!$A$4:$AG$39,3,)</f>
        <v>2</v>
      </c>
      <c r="K508" s="48">
        <f>VLOOKUP($B506,[8]Complaints!$A$4:$AG$39,3,)</f>
        <v>2</v>
      </c>
      <c r="L508" s="48">
        <f>VLOOKUP($B506,[9]Complaints!$A$4:$AG$39,3,)</f>
        <v>1</v>
      </c>
      <c r="M508" s="48">
        <f>VLOOKUP($B506,[10]Complaints!$A$4:$AG$39,3,)</f>
        <v>0</v>
      </c>
      <c r="N508" s="48">
        <f>VLOOKUP($B506,[11]Complaints!$A$4:$AG$39,3,)</f>
        <v>1</v>
      </c>
      <c r="O508" s="49">
        <f>VLOOKUP($B506,[12]Complaints!$A$4:$AG$39,3,)</f>
        <v>0</v>
      </c>
      <c r="P508" s="45">
        <f>SUM(D508:O508)</f>
        <v>13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>
        <f t="shared" si="129"/>
        <v>8.4889643463497452E-4</v>
      </c>
      <c r="H509" s="52">
        <f t="shared" si="129"/>
        <v>2.7529249827942187E-3</v>
      </c>
      <c r="I509" s="52">
        <f t="shared" si="129"/>
        <v>7.1530758226037196E-4</v>
      </c>
      <c r="J509" s="52">
        <f t="shared" si="129"/>
        <v>1.33422281521014E-3</v>
      </c>
      <c r="K509" s="52">
        <f t="shared" si="129"/>
        <v>1.33422281521014E-3</v>
      </c>
      <c r="L509" s="52">
        <f t="shared" si="129"/>
        <v>7.320644216691069E-4</v>
      </c>
      <c r="M509" s="52">
        <f t="shared" si="129"/>
        <v>0</v>
      </c>
      <c r="N509" s="52">
        <f t="shared" si="129"/>
        <v>8.960573476702509E-4</v>
      </c>
      <c r="O509" s="53" t="str">
        <f t="shared" si="129"/>
        <v/>
      </c>
      <c r="P509" s="54">
        <f>IF(P508="","",P508/P507)</f>
        <v>1.0732271113679517E-3</v>
      </c>
      <c r="Q509" s="50"/>
      <c r="R509" s="18"/>
    </row>
    <row r="510" spans="2:18" s="21" customFormat="1" ht="15.75" customHeight="1" x14ac:dyDescent="0.2">
      <c r="B510" s="157" t="s">
        <v>95</v>
      </c>
      <c r="C510" s="158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2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1</v>
      </c>
      <c r="M510" s="48">
        <f>VLOOKUP($B506,[10]Complaints!$A$4:$AG$39,4,)</f>
        <v>0</v>
      </c>
      <c r="N510" s="48">
        <f>VLOOKUP($B506,[11]Complaints!$A$4:$AG$39,4,)</f>
        <v>1</v>
      </c>
      <c r="O510" s="49">
        <f>VLOOKUP($B506,[12]Complaints!$A$4:$AG$39,4,)</f>
        <v>0</v>
      </c>
      <c r="P510" s="55">
        <f t="shared" ref="P510" si="130">SUM(D510:O510)</f>
        <v>4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>
        <f t="shared" si="131"/>
        <v>0</v>
      </c>
      <c r="H511" s="52">
        <f t="shared" si="131"/>
        <v>1.3764624913971094E-3</v>
      </c>
      <c r="I511" s="52">
        <f t="shared" si="131"/>
        <v>0</v>
      </c>
      <c r="J511" s="52">
        <f t="shared" si="131"/>
        <v>0</v>
      </c>
      <c r="K511" s="52">
        <f t="shared" si="131"/>
        <v>0</v>
      </c>
      <c r="L511" s="52">
        <f t="shared" si="131"/>
        <v>7.320644216691069E-4</v>
      </c>
      <c r="M511" s="52">
        <f t="shared" si="131"/>
        <v>0</v>
      </c>
      <c r="N511" s="52">
        <f t="shared" si="131"/>
        <v>8.960573476702509E-4</v>
      </c>
      <c r="O511" s="53" t="str">
        <f t="shared" si="131"/>
        <v/>
      </c>
      <c r="P511" s="54">
        <f>IF(P510="","",P510/P507)</f>
        <v>3.3022372657475439E-4</v>
      </c>
      <c r="Q511" s="50"/>
      <c r="R511" s="18"/>
    </row>
    <row r="512" spans="2:18" ht="15.75" customHeight="1" x14ac:dyDescent="0.2">
      <c r="B512" s="157" t="s">
        <v>96</v>
      </c>
      <c r="C512" s="158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1</v>
      </c>
      <c r="H512" s="48">
        <f>VLOOKUP($B506,[5]Complaints!$A$4:$AG$39,5,)</f>
        <v>2</v>
      </c>
      <c r="I512" s="48">
        <f>VLOOKUP($B506,[6]Complaints!$A$4:$AG$39,5,)</f>
        <v>1</v>
      </c>
      <c r="J512" s="48">
        <f>VLOOKUP($B506,[7]Complaints!$A$4:$AG$39,5,)</f>
        <v>2</v>
      </c>
      <c r="K512" s="48">
        <f>VLOOKUP($B506,[8]Complaints!$A$4:$AG$39,5,)</f>
        <v>2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0</v>
      </c>
      <c r="P512" s="55">
        <f t="shared" ref="P512" si="132">SUM(D512:O512)</f>
        <v>9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>
        <f t="shared" si="133"/>
        <v>8.4889643463497452E-4</v>
      </c>
      <c r="H513" s="52">
        <f t="shared" si="133"/>
        <v>1.3764624913971094E-3</v>
      </c>
      <c r="I513" s="52">
        <f t="shared" si="133"/>
        <v>7.1530758226037196E-4</v>
      </c>
      <c r="J513" s="52">
        <f t="shared" si="133"/>
        <v>1.33422281521014E-3</v>
      </c>
      <c r="K513" s="52">
        <f t="shared" si="133"/>
        <v>1.33422281521014E-3</v>
      </c>
      <c r="L513" s="52">
        <f t="shared" si="133"/>
        <v>0</v>
      </c>
      <c r="M513" s="52">
        <f t="shared" si="133"/>
        <v>0</v>
      </c>
      <c r="N513" s="52">
        <f t="shared" si="133"/>
        <v>0</v>
      </c>
      <c r="O513" s="53" t="str">
        <f t="shared" si="133"/>
        <v/>
      </c>
      <c r="P513" s="54">
        <f>IF(P512="","",P512/P507)</f>
        <v>7.4300338479319742E-4</v>
      </c>
      <c r="Q513" s="50"/>
      <c r="R513" s="18"/>
    </row>
    <row r="514" spans="2:18" ht="15.75" customHeight="1" x14ac:dyDescent="0.2">
      <c r="B514" s="161" t="s">
        <v>97</v>
      </c>
      <c r="C514" s="158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1</v>
      </c>
      <c r="H514" s="48">
        <f>VLOOKUP($B506,[5]Complaints!$A$4:$AG$39,6,)</f>
        <v>2</v>
      </c>
      <c r="I514" s="48">
        <f>VLOOKUP($B506,[6]Complaints!$A$4:$AG$39,6,)</f>
        <v>1</v>
      </c>
      <c r="J514" s="48">
        <f>VLOOKUP($B506,[7]Complaints!$A$4:$AG$39,6,)</f>
        <v>1</v>
      </c>
      <c r="K514" s="48">
        <f>VLOOKUP($B506,[8]Complaints!$A$4:$AG$39,6,)</f>
        <v>1</v>
      </c>
      <c r="L514" s="48">
        <f>VLOOKUP($B506,[9]Complaints!$A$4:$AG$39,6,)</f>
        <v>1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0</v>
      </c>
      <c r="P514" s="55">
        <f t="shared" ref="P514" si="134">SUM(D514:O514)</f>
        <v>8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>
        <f t="shared" si="135"/>
        <v>1</v>
      </c>
      <c r="H515" s="57">
        <f t="shared" si="135"/>
        <v>1</v>
      </c>
      <c r="I515" s="57">
        <f>IF(I514=0,"",I514/I512)</f>
        <v>1</v>
      </c>
      <c r="J515" s="57">
        <f t="shared" ref="J515:O515" si="136">IF(J514=0,"",J514/J512)</f>
        <v>0.5</v>
      </c>
      <c r="K515" s="57">
        <f t="shared" si="136"/>
        <v>0.5</v>
      </c>
      <c r="L515" s="57" t="e">
        <f t="shared" si="136"/>
        <v>#DIV/0!</v>
      </c>
      <c r="M515" s="57" t="str">
        <f t="shared" si="136"/>
        <v/>
      </c>
      <c r="N515" s="57" t="str">
        <f t="shared" si="136"/>
        <v/>
      </c>
      <c r="O515" s="58" t="str">
        <f t="shared" si="136"/>
        <v/>
      </c>
      <c r="P515" s="59">
        <f>IF(P514=0,"",P514/P512)</f>
        <v>0.88888888888888884</v>
      </c>
      <c r="Q515" s="60"/>
      <c r="R515" s="18"/>
    </row>
    <row r="516" spans="2:18" ht="15.75" customHeight="1" x14ac:dyDescent="0.2">
      <c r="B516" s="14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4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1</v>
      </c>
      <c r="H517" s="48">
        <f>VLOOKUP($B506,[5]Complaints!$A$4:$AJ$39,8,)</f>
        <v>2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1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5</v>
      </c>
      <c r="Q517" s="50">
        <f>IF(P517="","",P517/$P508)</f>
        <v>0.38461538461538464</v>
      </c>
      <c r="R517" s="18"/>
    </row>
    <row r="518" spans="2:18" ht="15.75" customHeight="1" x14ac:dyDescent="0.2">
      <c r="B518" s="14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4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1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1</v>
      </c>
      <c r="M519" s="48">
        <f>VLOOKUP($B506,[10]Complaints!$A$4:$AJ$39,10,)</f>
        <v>0</v>
      </c>
      <c r="N519" s="48">
        <f>VLOOKUP($B506,[11]Complaints!$A$4:$AJ$39,10,)</f>
        <v>1</v>
      </c>
      <c r="O519" s="49">
        <f>VLOOKUP($B506,[12]Complaints!$A$4:$AJ$39,10,)</f>
        <v>0</v>
      </c>
      <c r="P519" s="55">
        <f>SUM(D519:O519)</f>
        <v>3</v>
      </c>
      <c r="Q519" s="50">
        <f>IF(P519=0,"",P519/$P508)</f>
        <v>0.23076923076923078</v>
      </c>
      <c r="R519" s="18"/>
    </row>
    <row r="520" spans="2:18" ht="15.75" customHeight="1" x14ac:dyDescent="0.2">
      <c r="B520" s="14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1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0</v>
      </c>
      <c r="P520" s="55">
        <f t="shared" ref="P520:P529" si="138">SUM(D520:O520)</f>
        <v>1</v>
      </c>
      <c r="Q520" s="50">
        <f>IF(P520=0,"",P520/$P508)</f>
        <v>7.6923076923076927E-2</v>
      </c>
      <c r="R520" s="18"/>
    </row>
    <row r="521" spans="2:18" s="19" customFormat="1" ht="15.75" customHeight="1" x14ac:dyDescent="0.2">
      <c r="B521" s="14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4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1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1</v>
      </c>
      <c r="Q522" s="50">
        <f>IF(P522=0,"",P522/$P508)</f>
        <v>7.6923076923076927E-2</v>
      </c>
      <c r="R522" s="18"/>
    </row>
    <row r="523" spans="2:18" ht="15.75" customHeight="1" x14ac:dyDescent="0.2">
      <c r="B523" s="14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4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1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1</v>
      </c>
      <c r="Q524" s="50">
        <f>IF(P524=0,"",P524/$P508)</f>
        <v>7.6923076923076927E-2</v>
      </c>
      <c r="R524" s="18"/>
    </row>
    <row r="525" spans="2:18" ht="15.75" customHeight="1" x14ac:dyDescent="0.2">
      <c r="B525" s="14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4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4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4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1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1</v>
      </c>
      <c r="Q528" s="50">
        <f>IF(P528=0,"",P528/$P508)</f>
        <v>7.6923076923076927E-2</v>
      </c>
      <c r="R528" s="18"/>
    </row>
    <row r="529" spans="1:19" ht="15.75" customHeight="1" thickBot="1" x14ac:dyDescent="0.25">
      <c r="B529" s="15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1</v>
      </c>
      <c r="H530" s="63">
        <f>VLOOKUP($B506,[5]Complaints!$A$4:$AJ$39,21,)</f>
        <v>2</v>
      </c>
      <c r="I530" s="63">
        <f>VLOOKUP($B506,[6]Complaints!$A$4:$AJ$39,21,)</f>
        <v>1</v>
      </c>
      <c r="J530" s="63">
        <f>VLOOKUP($B506,[7]Complaints!$A$4:$AJ$39,21,)</f>
        <v>1</v>
      </c>
      <c r="K530" s="63">
        <f>VLOOKUP($B506,[8]Complaints!$A$4:$AJ$39,21,)</f>
        <v>1</v>
      </c>
      <c r="L530" s="63">
        <f>VLOOKUP($B506,[9]Complaints!$A$4:$AJ$39,21,)</f>
        <v>1</v>
      </c>
      <c r="M530" s="63">
        <f>VLOOKUP($B506,[10]Complaints!$A$4:$AJ$39,21,)</f>
        <v>0</v>
      </c>
      <c r="N530" s="63">
        <f>VLOOKUP($B506,[11]Complaints!$A$4:$AJ$39,21,)</f>
        <v>1</v>
      </c>
      <c r="O530" s="64">
        <f>VLOOKUP($B506,[12]Complaints!$A$4:$AJ$39,21,)</f>
        <v>0</v>
      </c>
      <c r="P530" s="65">
        <f>SUM(D530:O530)</f>
        <v>9</v>
      </c>
      <c r="Q530" s="46">
        <f>IF(P530=0,"",P530/$P514)</f>
        <v>1.125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1</v>
      </c>
      <c r="H532" s="67">
        <f>VLOOKUP($B506,[5]Complaints!$A$4:$AJ$39,23,)</f>
        <v>1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3</v>
      </c>
      <c r="Q532" s="70">
        <f>IF(P532=0,"",P532/$P514)</f>
        <v>0.375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1</v>
      </c>
      <c r="M534" s="67">
        <f>VLOOKUP($B506,[10]Complaints!$A$4:$AJ$39,25,)</f>
        <v>0</v>
      </c>
      <c r="N534" s="67">
        <f>VLOOKUP($B506,[11]Complaints!$A$4:$AJ$39,25,)</f>
        <v>1</v>
      </c>
      <c r="O534" s="68">
        <f>VLOOKUP($B506,[12]Complaints!$A$4:$AJ$39,25,)</f>
        <v>0</v>
      </c>
      <c r="P534" s="69">
        <f t="shared" si="139"/>
        <v>2</v>
      </c>
      <c r="Q534" s="70">
        <f>IF(P534=0,"",P534/$P514)</f>
        <v>0.25</v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1</v>
      </c>
      <c r="I535" s="67">
        <f>VLOOKUP($B506,[6]Complaints!$A$4:$AJ$39,26,)</f>
        <v>0</v>
      </c>
      <c r="J535" s="67">
        <f>VLOOKUP($B506,[7]Complaints!$A$4:$AJ$39,26,)</f>
        <v>1</v>
      </c>
      <c r="K535" s="67">
        <f>VLOOKUP($B506,[8]Complaints!$A$4:$AJ$39,26,)</f>
        <v>1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3</v>
      </c>
      <c r="Q535" s="70">
        <f>IF(P535=0,"",P535/$P514)</f>
        <v>0.375</v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0</v>
      </c>
      <c r="P536" s="69">
        <f t="shared" si="139"/>
        <v>0</v>
      </c>
      <c r="Q536" s="70" t="str">
        <f>IF(P536=0,"",P536/$P514)</f>
        <v/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1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1</v>
      </c>
      <c r="Q538" s="70">
        <f>IF(P538=0,"",P538/$P514)</f>
        <v>0.125</v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9" t="s">
        <v>22</v>
      </c>
      <c r="C547" s="160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2" t="s">
        <v>104</v>
      </c>
      <c r="R547" s="18"/>
    </row>
    <row r="548" spans="2:18" ht="15.75" customHeight="1" thickBot="1" x14ac:dyDescent="0.3">
      <c r="B548" s="151" t="s">
        <v>120</v>
      </c>
      <c r="C548" s="152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3"/>
      <c r="R548" s="18"/>
    </row>
    <row r="549" spans="2:18" ht="12.75" customHeight="1" thickBot="1" x14ac:dyDescent="0.25">
      <c r="B549" s="153" t="s">
        <v>38</v>
      </c>
      <c r="C549" s="154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1863</v>
      </c>
      <c r="H549" s="43">
        <f>VLOOKUP($B548,[5]Complaints!$A$4:$AJ$39,2)</f>
        <v>2146</v>
      </c>
      <c r="I549" s="43">
        <f>VLOOKUP($B548,[6]Complaints!$A$4:$AJ$39,2)</f>
        <v>2280</v>
      </c>
      <c r="J549" s="43">
        <f>VLOOKUP($B548,[7]Complaints!$A$4:$AJ$39,2)</f>
        <v>2216</v>
      </c>
      <c r="K549" s="43">
        <f>VLOOKUP($B548,[8]Complaints!$A$4:$AJ$39,2)</f>
        <v>2216</v>
      </c>
      <c r="L549" s="43">
        <f>VLOOKUP($B548,[9]Complaints!$A$4:$AJ$39,2)</f>
        <v>2039</v>
      </c>
      <c r="M549" s="43">
        <f>VLOOKUP($B548,[10]Complaints!$A$4:$AJ$39,2)</f>
        <v>1652</v>
      </c>
      <c r="N549" s="43">
        <f>VLOOKUP($B548,[11]Complaints!$A$4:$AJ$39,2)</f>
        <v>1642</v>
      </c>
      <c r="O549" s="44">
        <f>VLOOKUP($B548,[12]Complaints!$A$4:$AJ$39,2)</f>
        <v>0</v>
      </c>
      <c r="P549" s="45">
        <f>SUM(D549:O549)</f>
        <v>18836</v>
      </c>
      <c r="Q549" s="46"/>
      <c r="R549" s="18"/>
    </row>
    <row r="550" spans="2:18" ht="15.75" customHeight="1" x14ac:dyDescent="0.2">
      <c r="B550" s="155" t="s">
        <v>94</v>
      </c>
      <c r="C550" s="156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1</v>
      </c>
      <c r="H550" s="48">
        <f>VLOOKUP($B548,[5]Complaints!$A$4:$AG$39,3,)</f>
        <v>3</v>
      </c>
      <c r="I550" s="48">
        <f>VLOOKUP($B548,[6]Complaints!$A$4:$AG$39,3,)</f>
        <v>1</v>
      </c>
      <c r="J550" s="48">
        <f>VLOOKUP($B548,[7]Complaints!$A$4:$AG$39,3,)</f>
        <v>2</v>
      </c>
      <c r="K550" s="48">
        <f>VLOOKUP($B548,[8]Complaints!$A$4:$AG$39,3,)</f>
        <v>2</v>
      </c>
      <c r="L550" s="48">
        <f>VLOOKUP($B548,[9]Complaints!$A$4:$AG$39,3,)</f>
        <v>2</v>
      </c>
      <c r="M550" s="48">
        <f>VLOOKUP($B548,[10]Complaints!$A$4:$AG$39,3,)</f>
        <v>2</v>
      </c>
      <c r="N550" s="48">
        <f>VLOOKUP($B548,[11]Complaints!$A$4:$AG$39,3,)</f>
        <v>2</v>
      </c>
      <c r="O550" s="49">
        <f>VLOOKUP($B548,[12]Complaints!$A$4:$AG$39,3,)</f>
        <v>0</v>
      </c>
      <c r="P550" s="45">
        <f>SUM(D550:O550)</f>
        <v>15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>
        <f t="shared" si="140"/>
        <v>5.3676865271068169E-4</v>
      </c>
      <c r="H551" s="52">
        <f t="shared" si="140"/>
        <v>1.3979496738117428E-3</v>
      </c>
      <c r="I551" s="52">
        <f t="shared" si="140"/>
        <v>4.3859649122807018E-4</v>
      </c>
      <c r="J551" s="52">
        <f t="shared" si="140"/>
        <v>9.025270758122744E-4</v>
      </c>
      <c r="K551" s="52">
        <f t="shared" si="140"/>
        <v>9.025270758122744E-4</v>
      </c>
      <c r="L551" s="52">
        <f t="shared" si="140"/>
        <v>9.8087297694948511E-4</v>
      </c>
      <c r="M551" s="52">
        <f t="shared" si="140"/>
        <v>1.2106537530266344E-3</v>
      </c>
      <c r="N551" s="52">
        <f t="shared" si="140"/>
        <v>1.2180267965895249E-3</v>
      </c>
      <c r="O551" s="53" t="str">
        <f t="shared" si="140"/>
        <v/>
      </c>
      <c r="P551" s="54">
        <f>IF(P550="","",P550/P549)</f>
        <v>7.9634741983435975E-4</v>
      </c>
      <c r="Q551" s="50"/>
      <c r="R551" s="18"/>
    </row>
    <row r="552" spans="2:18" s="21" customFormat="1" ht="15.75" customHeight="1" x14ac:dyDescent="0.2">
      <c r="B552" s="157" t="s">
        <v>95</v>
      </c>
      <c r="C552" s="158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1</v>
      </c>
      <c r="H552" s="48">
        <f>VLOOKUP($B548,[5]Complaints!$A$4:$AG$39,4,)</f>
        <v>2</v>
      </c>
      <c r="I552" s="48">
        <f>VLOOKUP($B548,[6]Complaints!$A$4:$AG$39,4,)</f>
        <v>0</v>
      </c>
      <c r="J552" s="48">
        <f>VLOOKUP($B548,[7]Complaints!$A$4:$AG$39,4,)</f>
        <v>1</v>
      </c>
      <c r="K552" s="48">
        <f>VLOOKUP($B548,[8]Complaints!$A$4:$AG$39,4,)</f>
        <v>1</v>
      </c>
      <c r="L552" s="48">
        <f>VLOOKUP($B548,[9]Complaints!$A$4:$AG$39,4,)</f>
        <v>0</v>
      </c>
      <c r="M552" s="48">
        <f>VLOOKUP($B548,[10]Complaints!$A$4:$AG$39,4,)</f>
        <v>1</v>
      </c>
      <c r="N552" s="48">
        <f>VLOOKUP($B548,[11]Complaints!$A$4:$AG$39,4,)</f>
        <v>1</v>
      </c>
      <c r="O552" s="49">
        <f>VLOOKUP($B548,[12]Complaints!$A$4:$AG$39,4,)</f>
        <v>0</v>
      </c>
      <c r="P552" s="55">
        <f t="shared" ref="P552" si="141">SUM(D552:O552)</f>
        <v>7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>
        <f t="shared" si="142"/>
        <v>5.3676865271068169E-4</v>
      </c>
      <c r="H553" s="52">
        <f t="shared" si="142"/>
        <v>9.3196644920782849E-4</v>
      </c>
      <c r="I553" s="52">
        <f t="shared" si="142"/>
        <v>0</v>
      </c>
      <c r="J553" s="52">
        <f t="shared" si="142"/>
        <v>4.512635379061372E-4</v>
      </c>
      <c r="K553" s="52">
        <f t="shared" si="142"/>
        <v>4.512635379061372E-4</v>
      </c>
      <c r="L553" s="52">
        <f t="shared" si="142"/>
        <v>0</v>
      </c>
      <c r="M553" s="52">
        <f t="shared" si="142"/>
        <v>6.0532687651331722E-4</v>
      </c>
      <c r="N553" s="52">
        <f t="shared" si="142"/>
        <v>6.0901339829476245E-4</v>
      </c>
      <c r="O553" s="53" t="str">
        <f t="shared" si="142"/>
        <v/>
      </c>
      <c r="P553" s="54">
        <f>IF(P552="","",P552/P549)</f>
        <v>3.7162879592270121E-4</v>
      </c>
      <c r="Q553" s="50"/>
      <c r="R553" s="18"/>
    </row>
    <row r="554" spans="2:18" ht="15.75" customHeight="1" x14ac:dyDescent="0.2">
      <c r="B554" s="157" t="s">
        <v>96</v>
      </c>
      <c r="C554" s="158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1</v>
      </c>
      <c r="I554" s="48">
        <f>VLOOKUP($B548,[6]Complaints!$A$4:$AG$39,5,)</f>
        <v>1</v>
      </c>
      <c r="J554" s="48">
        <f>VLOOKUP($B548,[7]Complaints!$A$4:$AG$39,5,)</f>
        <v>1</v>
      </c>
      <c r="K554" s="48">
        <f>VLOOKUP($B548,[8]Complaints!$A$4:$AG$39,5,)</f>
        <v>1</v>
      </c>
      <c r="L554" s="48">
        <f>VLOOKUP($B548,[9]Complaints!$A$4:$AG$39,5,)</f>
        <v>2</v>
      </c>
      <c r="M554" s="48">
        <f>VLOOKUP($B548,[10]Complaints!$A$4:$AG$39,5,)</f>
        <v>1</v>
      </c>
      <c r="N554" s="48">
        <f>VLOOKUP($B548,[11]Complaints!$A$4:$AG$39,5,)</f>
        <v>1</v>
      </c>
      <c r="O554" s="49">
        <f>VLOOKUP($B548,[12]Complaints!$A$4:$AG$39,5,)</f>
        <v>0</v>
      </c>
      <c r="P554" s="55">
        <f t="shared" ref="P554" si="143">SUM(D554:O554)</f>
        <v>8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>
        <f t="shared" si="144"/>
        <v>0</v>
      </c>
      <c r="H555" s="52">
        <f t="shared" si="144"/>
        <v>4.6598322460391424E-4</v>
      </c>
      <c r="I555" s="52">
        <f t="shared" si="144"/>
        <v>4.3859649122807018E-4</v>
      </c>
      <c r="J555" s="52">
        <f t="shared" si="144"/>
        <v>4.512635379061372E-4</v>
      </c>
      <c r="K555" s="52">
        <f t="shared" si="144"/>
        <v>4.512635379061372E-4</v>
      </c>
      <c r="L555" s="52">
        <f t="shared" si="144"/>
        <v>9.8087297694948511E-4</v>
      </c>
      <c r="M555" s="52">
        <f t="shared" si="144"/>
        <v>6.0532687651331722E-4</v>
      </c>
      <c r="N555" s="52">
        <f t="shared" si="144"/>
        <v>6.0901339829476245E-4</v>
      </c>
      <c r="O555" s="53" t="str">
        <f t="shared" si="144"/>
        <v/>
      </c>
      <c r="P555" s="54">
        <f>IF(P554="","",P554/P549)</f>
        <v>4.2471862391165854E-4</v>
      </c>
      <c r="Q555" s="50"/>
      <c r="R555" s="18"/>
    </row>
    <row r="556" spans="2:18" ht="15.75" customHeight="1" x14ac:dyDescent="0.2">
      <c r="B556" s="161" t="s">
        <v>97</v>
      </c>
      <c r="C556" s="158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1</v>
      </c>
      <c r="I556" s="48">
        <f>VLOOKUP($B548,[6]Complaints!$A$4:$AG$39,6,)</f>
        <v>1</v>
      </c>
      <c r="J556" s="48">
        <f>VLOOKUP($B548,[7]Complaints!$A$4:$AG$39,6,)</f>
        <v>1</v>
      </c>
      <c r="K556" s="48">
        <f>VLOOKUP($B548,[8]Complaints!$A$4:$AG$39,6,)</f>
        <v>1</v>
      </c>
      <c r="L556" s="48">
        <f>VLOOKUP($B548,[9]Complaints!$A$4:$AG$39,6,)</f>
        <v>2</v>
      </c>
      <c r="M556" s="48">
        <f>VLOOKUP($B548,[10]Complaints!$A$4:$AG$39,6,)</f>
        <v>2</v>
      </c>
      <c r="N556" s="48">
        <f>VLOOKUP($B548,[11]Complaints!$A$4:$AG$39,6,)</f>
        <v>0</v>
      </c>
      <c r="O556" s="49">
        <f>VLOOKUP($B548,[12]Complaints!$A$4:$AG$39,6,)</f>
        <v>0</v>
      </c>
      <c r="P556" s="55">
        <f t="shared" ref="P556" si="145">SUM(D556:O556)</f>
        <v>8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>
        <f t="shared" si="146"/>
        <v>1</v>
      </c>
      <c r="I557" s="57">
        <f>IF(I556=0,"",I556/I554)</f>
        <v>1</v>
      </c>
      <c r="J557" s="57">
        <f t="shared" ref="J557:O557" si="147">IF(J556=0,"",J556/J554)</f>
        <v>1</v>
      </c>
      <c r="K557" s="57">
        <f t="shared" si="147"/>
        <v>1</v>
      </c>
      <c r="L557" s="57">
        <f t="shared" si="147"/>
        <v>1</v>
      </c>
      <c r="M557" s="57">
        <f t="shared" si="147"/>
        <v>2</v>
      </c>
      <c r="N557" s="57" t="str">
        <f t="shared" si="147"/>
        <v/>
      </c>
      <c r="O557" s="58" t="str">
        <f t="shared" si="147"/>
        <v/>
      </c>
      <c r="P557" s="59">
        <f>IF(P556=0,"",P556/P554)</f>
        <v>1</v>
      </c>
      <c r="Q557" s="60"/>
      <c r="R557" s="18"/>
    </row>
    <row r="558" spans="2:18" ht="15.75" customHeight="1" x14ac:dyDescent="0.2">
      <c r="B558" s="14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1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1</v>
      </c>
      <c r="Q558" s="46">
        <f>IF(P558=0,"",P558/$P550)</f>
        <v>6.6666666666666666E-2</v>
      </c>
      <c r="R558" s="18"/>
    </row>
    <row r="559" spans="2:18" ht="15.75" customHeight="1" x14ac:dyDescent="0.2">
      <c r="B559" s="14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1</v>
      </c>
      <c r="I559" s="48">
        <f>VLOOKUP($B548,[6]Complaints!$A$4:$AJ$39,8,)</f>
        <v>0</v>
      </c>
      <c r="J559" s="48">
        <f>VLOOKUP($B548,[7]Complaints!$A$4:$AJ$39,8,)</f>
        <v>1</v>
      </c>
      <c r="K559" s="48">
        <f>VLOOKUP($B548,[8]Complaints!$A$4:$AJ$39,8,)</f>
        <v>0</v>
      </c>
      <c r="L559" s="48">
        <f>VLOOKUP($B548,[9]Complaints!$A$4:$AJ$39,8,)</f>
        <v>1</v>
      </c>
      <c r="M559" s="48">
        <f>VLOOKUP($B548,[10]Complaints!$A$4:$AJ$39,8,)</f>
        <v>0</v>
      </c>
      <c r="N559" s="48">
        <f>VLOOKUP($B548,[11]Complaints!$A$4:$AJ$39,8,)</f>
        <v>1</v>
      </c>
      <c r="O559" s="49">
        <f>VLOOKUP($B548,[12]Complaints!$A$4:$AJ$39,8,)</f>
        <v>0</v>
      </c>
      <c r="P559" s="55">
        <f t="shared" ref="P559:P560" si="148">SUM(D559:O559)</f>
        <v>4</v>
      </c>
      <c r="Q559" s="50">
        <f>IF(P559="","",P559/$P550)</f>
        <v>0.26666666666666666</v>
      </c>
      <c r="R559" s="18"/>
    </row>
    <row r="560" spans="2:18" ht="15.75" customHeight="1" x14ac:dyDescent="0.2">
      <c r="B560" s="14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1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1</v>
      </c>
      <c r="Q560" s="50">
        <f>IF(P560=0,"",P560/$P550)</f>
        <v>6.6666666666666666E-2</v>
      </c>
      <c r="R560" s="18"/>
    </row>
    <row r="561" spans="2:18" ht="15.75" customHeight="1" x14ac:dyDescent="0.2">
      <c r="B561" s="14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1</v>
      </c>
      <c r="H561" s="48">
        <f>VLOOKUP($B548,[5]Complaints!$A$4:$AJ$39,10,)</f>
        <v>1</v>
      </c>
      <c r="I561" s="48">
        <f>VLOOKUP($B548,[6]Complaints!$A$4:$AJ$39,10,)</f>
        <v>0</v>
      </c>
      <c r="J561" s="48">
        <f>VLOOKUP($B548,[7]Complaints!$A$4:$AJ$39,10,)</f>
        <v>1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1</v>
      </c>
      <c r="O561" s="49">
        <f>VLOOKUP($B548,[12]Complaints!$A$4:$AJ$39,10,)</f>
        <v>0</v>
      </c>
      <c r="P561" s="55">
        <f>SUM(D561:O561)</f>
        <v>4</v>
      </c>
      <c r="Q561" s="50">
        <f>IF(P561=0,"",P561/$P550)</f>
        <v>0.26666666666666666</v>
      </c>
      <c r="R561" s="18"/>
    </row>
    <row r="562" spans="2:18" ht="15.75" customHeight="1" x14ac:dyDescent="0.2">
      <c r="B562" s="14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4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1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1</v>
      </c>
      <c r="Q563" s="50">
        <f>IF(P563=0,"",P563/$P550)</f>
        <v>6.6666666666666666E-2</v>
      </c>
    </row>
    <row r="564" spans="2:18" ht="15.75" customHeight="1" x14ac:dyDescent="0.2">
      <c r="B564" s="14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4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4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1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1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2</v>
      </c>
      <c r="Q566" s="50">
        <f>IF(P566=0,"",P566/$P550)</f>
        <v>0.13333333333333333</v>
      </c>
      <c r="R566" s="18"/>
    </row>
    <row r="567" spans="2:18" ht="15.75" customHeight="1" x14ac:dyDescent="0.2">
      <c r="B567" s="14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4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4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4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5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1</v>
      </c>
      <c r="I572" s="63">
        <f>VLOOKUP($B548,[6]Complaints!$A$4:$AJ$39,21,)</f>
        <v>0</v>
      </c>
      <c r="J572" s="63">
        <f>VLOOKUP($B548,[7]Complaints!$A$4:$AJ$39,21,)</f>
        <v>1</v>
      </c>
      <c r="K572" s="63">
        <f>VLOOKUP($B548,[8]Complaints!$A$4:$AJ$39,21,)</f>
        <v>1</v>
      </c>
      <c r="L572" s="63">
        <f>VLOOKUP($B548,[9]Complaints!$A$4:$AJ$39,21,)</f>
        <v>1</v>
      </c>
      <c r="M572" s="63">
        <f>VLOOKUP($B548,[10]Complaints!$A$4:$AJ$39,21,)</f>
        <v>2</v>
      </c>
      <c r="N572" s="63">
        <f>VLOOKUP($B548,[11]Complaints!$A$4:$AJ$39,21,)</f>
        <v>0</v>
      </c>
      <c r="O572" s="64">
        <f>VLOOKUP($B548,[12]Complaints!$A$4:$AJ$39,21,)</f>
        <v>0</v>
      </c>
      <c r="P572" s="65">
        <f>SUM(D572:O572)</f>
        <v>6</v>
      </c>
      <c r="Q572" s="46">
        <f>IF(P572=0,"",P572/$P556)</f>
        <v>0.75</v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1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1</v>
      </c>
      <c r="Q573" s="70">
        <f>IF(P573=0,"",P573/$P556)</f>
        <v>0.125</v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1</v>
      </c>
      <c r="I574" s="67">
        <f>VLOOKUP($B548,[6]Complaints!$A$4:$AJ$39,23,)</f>
        <v>0</v>
      </c>
      <c r="J574" s="67">
        <f>VLOOKUP($B548,[7]Complaints!$A$4:$AJ$39,23,)</f>
        <v>1</v>
      </c>
      <c r="K574" s="67">
        <f>VLOOKUP($B548,[8]Complaints!$A$4:$AJ$39,23,)</f>
        <v>1</v>
      </c>
      <c r="L574" s="67">
        <f>VLOOKUP($B548,[9]Complaints!$A$4:$AJ$39,23,)</f>
        <v>1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0</v>
      </c>
      <c r="P574" s="69">
        <f t="shared" si="150"/>
        <v>4</v>
      </c>
      <c r="Q574" s="70">
        <f>IF(P574=0,"",P574/$P556)</f>
        <v>0.5</v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1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1</v>
      </c>
      <c r="Q579" s="70">
        <f>IF(P579=0,"",P579/$P556)</f>
        <v>0.125</v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1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1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2</v>
      </c>
      <c r="Q582" s="50">
        <f>IF(P582=0,"",P582/$P556)</f>
        <v>0.25</v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1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1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2</v>
      </c>
      <c r="Q585" s="70">
        <f>IF(P585=0,"",P585/$P556)</f>
        <v>0.25</v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9" t="s">
        <v>23</v>
      </c>
      <c r="C589" s="160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2" t="s">
        <v>104</v>
      </c>
      <c r="R589" s="18"/>
    </row>
    <row r="590" spans="1:19" ht="15.75" customHeight="1" thickBot="1" x14ac:dyDescent="0.3">
      <c r="B590" s="151" t="s">
        <v>76</v>
      </c>
      <c r="C590" s="152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3"/>
      <c r="R590" s="18"/>
    </row>
    <row r="591" spans="1:19" ht="12.75" customHeight="1" thickBot="1" x14ac:dyDescent="0.25">
      <c r="B591" s="153" t="s">
        <v>38</v>
      </c>
      <c r="C591" s="154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524</v>
      </c>
      <c r="H591" s="43">
        <f>VLOOKUP($B590,[5]Complaints!$A$4:$AJ$39,2)</f>
        <v>724</v>
      </c>
      <c r="I591" s="43">
        <f>VLOOKUP($B590,[6]Complaints!$A$4:$AJ$39,2)</f>
        <v>982</v>
      </c>
      <c r="J591" s="43">
        <f>VLOOKUP($B590,[7]Complaints!$A$4:$AJ$39,2)</f>
        <v>817</v>
      </c>
      <c r="K591" s="43">
        <f>VLOOKUP($B590,[8]Complaints!$A$4:$AJ$39,2)</f>
        <v>817</v>
      </c>
      <c r="L591" s="43">
        <f>VLOOKUP($B590,[9]Complaints!$A$4:$AJ$39,2)</f>
        <v>749</v>
      </c>
      <c r="M591" s="43">
        <f>VLOOKUP($B590,[10]Complaints!$A$4:$AJ$39,2)</f>
        <v>534</v>
      </c>
      <c r="N591" s="43">
        <f>VLOOKUP($B590,[11]Complaints!$A$4:$AJ$39,2)</f>
        <v>515</v>
      </c>
      <c r="O591" s="44">
        <f>VLOOKUP($B590,[12]Complaints!$A$4:$AJ$39,2)</f>
        <v>0</v>
      </c>
      <c r="P591" s="45">
        <f>SUM(D591:O591)</f>
        <v>6299</v>
      </c>
      <c r="Q591" s="46"/>
      <c r="R591" s="18"/>
    </row>
    <row r="592" spans="1:19" ht="15.75" customHeight="1" x14ac:dyDescent="0.2">
      <c r="B592" s="155" t="s">
        <v>94</v>
      </c>
      <c r="C592" s="156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2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2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>
        <f t="shared" si="151"/>
        <v>0</v>
      </c>
      <c r="H593" s="52">
        <f t="shared" si="151"/>
        <v>0</v>
      </c>
      <c r="I593" s="52">
        <f t="shared" si="151"/>
        <v>0</v>
      </c>
      <c r="J593" s="52">
        <f t="shared" si="151"/>
        <v>0</v>
      </c>
      <c r="K593" s="52">
        <f t="shared" si="151"/>
        <v>0</v>
      </c>
      <c r="L593" s="52">
        <f t="shared" si="151"/>
        <v>2.6702269692923898E-3</v>
      </c>
      <c r="M593" s="52">
        <f t="shared" si="151"/>
        <v>0</v>
      </c>
      <c r="N593" s="52">
        <f t="shared" si="151"/>
        <v>0</v>
      </c>
      <c r="O593" s="53" t="str">
        <f t="shared" si="151"/>
        <v/>
      </c>
      <c r="P593" s="54">
        <f>IF(P592="","",P592/P591)</f>
        <v>3.1751071598666456E-4</v>
      </c>
      <c r="Q593" s="50"/>
      <c r="R593" s="18"/>
    </row>
    <row r="594" spans="2:18" s="21" customFormat="1" ht="15.75" customHeight="1" x14ac:dyDescent="0.2">
      <c r="B594" s="157" t="s">
        <v>95</v>
      </c>
      <c r="C594" s="158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1</v>
      </c>
      <c r="M594" s="48">
        <f>VLOOKUP($B590,[10]Complaints!$A$4:$AG$39,4,)</f>
        <v>-1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0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>
        <f t="shared" si="153"/>
        <v>0</v>
      </c>
      <c r="H595" s="52">
        <f t="shared" si="153"/>
        <v>0</v>
      </c>
      <c r="I595" s="52">
        <f t="shared" si="153"/>
        <v>0</v>
      </c>
      <c r="J595" s="52">
        <f t="shared" si="153"/>
        <v>0</v>
      </c>
      <c r="K595" s="52">
        <f t="shared" si="153"/>
        <v>0</v>
      </c>
      <c r="L595" s="52">
        <f t="shared" si="153"/>
        <v>1.3351134846461949E-3</v>
      </c>
      <c r="M595" s="52">
        <f t="shared" si="153"/>
        <v>-1.8726591760299626E-3</v>
      </c>
      <c r="N595" s="52">
        <f t="shared" si="153"/>
        <v>0</v>
      </c>
      <c r="O595" s="53" t="str">
        <f t="shared" si="153"/>
        <v/>
      </c>
      <c r="P595" s="54">
        <f>IF(P594="","",P594/P591)</f>
        <v>0</v>
      </c>
      <c r="Q595" s="50"/>
      <c r="R595" s="18"/>
    </row>
    <row r="596" spans="2:18" ht="15.75" customHeight="1" x14ac:dyDescent="0.2">
      <c r="B596" s="157" t="s">
        <v>96</v>
      </c>
      <c r="C596" s="158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1</v>
      </c>
      <c r="M596" s="48">
        <f>VLOOKUP($B590,[10]Complaints!$A$4:$AG$39,5,)</f>
        <v>1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2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>
        <f t="shared" si="155"/>
        <v>0</v>
      </c>
      <c r="H597" s="52">
        <f t="shared" si="155"/>
        <v>0</v>
      </c>
      <c r="I597" s="52">
        <f t="shared" si="155"/>
        <v>0</v>
      </c>
      <c r="J597" s="52">
        <f t="shared" si="155"/>
        <v>0</v>
      </c>
      <c r="K597" s="52">
        <f t="shared" si="155"/>
        <v>0</v>
      </c>
      <c r="L597" s="52">
        <f t="shared" si="155"/>
        <v>1.3351134846461949E-3</v>
      </c>
      <c r="M597" s="52">
        <f t="shared" si="155"/>
        <v>1.8726591760299626E-3</v>
      </c>
      <c r="N597" s="52">
        <f t="shared" si="155"/>
        <v>0</v>
      </c>
      <c r="O597" s="53" t="str">
        <f t="shared" si="155"/>
        <v/>
      </c>
      <c r="P597" s="54">
        <f>IF(P596="","",P596/P591)</f>
        <v>3.1751071598666456E-4</v>
      </c>
      <c r="Q597" s="50"/>
      <c r="R597" s="18"/>
    </row>
    <row r="598" spans="2:18" ht="15.75" customHeight="1" x14ac:dyDescent="0.2">
      <c r="B598" s="161" t="s">
        <v>97</v>
      </c>
      <c r="C598" s="158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4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4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1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1</v>
      </c>
      <c r="Q601" s="50">
        <f>IF(P601="","",P601/$P592)</f>
        <v>0.5</v>
      </c>
      <c r="R601" s="18"/>
    </row>
    <row r="602" spans="2:18" ht="15.75" customHeight="1" x14ac:dyDescent="0.2">
      <c r="B602" s="14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4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1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1</v>
      </c>
      <c r="Q603" s="50">
        <f>IF(P603=0,"",P603/$P592)</f>
        <v>0.5</v>
      </c>
      <c r="R603" s="18"/>
    </row>
    <row r="604" spans="2:18" ht="15.75" customHeight="1" x14ac:dyDescent="0.2">
      <c r="B604" s="14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4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4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4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4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4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4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4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4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5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9" t="s">
        <v>24</v>
      </c>
      <c r="C631" s="160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2" t="s">
        <v>104</v>
      </c>
      <c r="R631" s="18"/>
    </row>
    <row r="632" spans="2:19" ht="15.75" customHeight="1" thickBot="1" x14ac:dyDescent="0.3">
      <c r="B632" s="151" t="s">
        <v>61</v>
      </c>
      <c r="C632" s="152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3"/>
      <c r="R632" s="18"/>
    </row>
    <row r="633" spans="2:19" ht="12.75" customHeight="1" thickBot="1" x14ac:dyDescent="0.25">
      <c r="B633" s="153" t="s">
        <v>38</v>
      </c>
      <c r="C633" s="154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1309</v>
      </c>
      <c r="H633" s="43">
        <f>VLOOKUP($B632,[5]Complaints!$A$4:$AJ$39,2)</f>
        <v>1581</v>
      </c>
      <c r="I633" s="43">
        <f>VLOOKUP($B632,[6]Complaints!$A$4:$AJ$39,2)</f>
        <v>1875</v>
      </c>
      <c r="J633" s="43">
        <f>VLOOKUP($B632,[7]Complaints!$A$4:$AJ$39,2)</f>
        <v>1821</v>
      </c>
      <c r="K633" s="43">
        <f>VLOOKUP($B632,[8]Complaints!$A$4:$AJ$39,2)</f>
        <v>1821</v>
      </c>
      <c r="L633" s="43">
        <f>VLOOKUP($B632,[9]Complaints!$A$4:$AJ$39,2)</f>
        <v>1509</v>
      </c>
      <c r="M633" s="43">
        <f>VLOOKUP($B632,[10]Complaints!$A$4:$AJ$39,2)</f>
        <v>1008</v>
      </c>
      <c r="N633" s="43">
        <f>VLOOKUP($B632,[11]Complaints!$A$4:$AJ$39,2)</f>
        <v>1065</v>
      </c>
      <c r="O633" s="44">
        <f>VLOOKUP($B632,[12]Complaints!$A$4:$AJ$39,2)</f>
        <v>0</v>
      </c>
      <c r="P633" s="45">
        <f>SUM(D633:O633)</f>
        <v>13504</v>
      </c>
      <c r="Q633" s="46"/>
      <c r="R633" s="18"/>
    </row>
    <row r="634" spans="2:19" ht="15.75" customHeight="1" x14ac:dyDescent="0.2">
      <c r="B634" s="155" t="s">
        <v>94</v>
      </c>
      <c r="C634" s="156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2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2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>
        <f t="shared" si="162"/>
        <v>0</v>
      </c>
      <c r="H635" s="52">
        <f t="shared" si="162"/>
        <v>0</v>
      </c>
      <c r="I635" s="52">
        <f t="shared" si="162"/>
        <v>1.0666666666666667E-3</v>
      </c>
      <c r="J635" s="52">
        <f t="shared" si="162"/>
        <v>0</v>
      </c>
      <c r="K635" s="52">
        <f t="shared" si="162"/>
        <v>0</v>
      </c>
      <c r="L635" s="52">
        <f t="shared" si="162"/>
        <v>0</v>
      </c>
      <c r="M635" s="52">
        <f t="shared" si="162"/>
        <v>0</v>
      </c>
      <c r="N635" s="52">
        <f t="shared" si="162"/>
        <v>0</v>
      </c>
      <c r="O635" s="53" t="str">
        <f t="shared" si="162"/>
        <v/>
      </c>
      <c r="P635" s="54">
        <f>IF(P634="","",P634/P633)</f>
        <v>1.4810426540284361E-4</v>
      </c>
      <c r="Q635" s="50"/>
      <c r="R635" s="18"/>
    </row>
    <row r="636" spans="2:19" s="21" customFormat="1" ht="15.75" customHeight="1" x14ac:dyDescent="0.2">
      <c r="B636" s="157" t="s">
        <v>95</v>
      </c>
      <c r="C636" s="158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>
        <f t="shared" si="164"/>
        <v>0</v>
      </c>
      <c r="H637" s="52">
        <f t="shared" si="164"/>
        <v>0</v>
      </c>
      <c r="I637" s="52">
        <f t="shared" si="164"/>
        <v>0</v>
      </c>
      <c r="J637" s="52">
        <f t="shared" si="164"/>
        <v>0</v>
      </c>
      <c r="K637" s="52">
        <f t="shared" si="164"/>
        <v>0</v>
      </c>
      <c r="L637" s="52">
        <f t="shared" si="164"/>
        <v>0</v>
      </c>
      <c r="M637" s="52">
        <f t="shared" si="164"/>
        <v>0</v>
      </c>
      <c r="N637" s="52">
        <f t="shared" si="164"/>
        <v>0</v>
      </c>
      <c r="O637" s="53" t="str">
        <f t="shared" si="164"/>
        <v/>
      </c>
      <c r="P637" s="54">
        <f>IF(P636="","",P636/P633)</f>
        <v>0</v>
      </c>
      <c r="Q637" s="50"/>
      <c r="R637" s="18"/>
    </row>
    <row r="638" spans="2:19" ht="15.75" customHeight="1" x14ac:dyDescent="0.2">
      <c r="B638" s="157" t="s">
        <v>96</v>
      </c>
      <c r="C638" s="158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2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2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>
        <f t="shared" si="166"/>
        <v>0</v>
      </c>
      <c r="H639" s="52">
        <f t="shared" si="166"/>
        <v>0</v>
      </c>
      <c r="I639" s="52">
        <f t="shared" si="166"/>
        <v>1.0666666666666667E-3</v>
      </c>
      <c r="J639" s="52">
        <f t="shared" si="166"/>
        <v>0</v>
      </c>
      <c r="K639" s="52">
        <f t="shared" si="166"/>
        <v>0</v>
      </c>
      <c r="L639" s="52">
        <f t="shared" si="166"/>
        <v>0</v>
      </c>
      <c r="M639" s="52">
        <f t="shared" si="166"/>
        <v>0</v>
      </c>
      <c r="N639" s="52">
        <f t="shared" si="166"/>
        <v>0</v>
      </c>
      <c r="O639" s="53" t="str">
        <f t="shared" si="166"/>
        <v/>
      </c>
      <c r="P639" s="54">
        <f>IF(P638="","",P638/P633)</f>
        <v>1.4810426540284361E-4</v>
      </c>
      <c r="Q639" s="50"/>
      <c r="R639" s="18"/>
    </row>
    <row r="640" spans="2:19" ht="15.75" customHeight="1" x14ac:dyDescent="0.2">
      <c r="B640" s="161" t="s">
        <v>97</v>
      </c>
      <c r="C640" s="158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1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1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>
        <f>IF(I640=0,"",I640/I638)</f>
        <v>0.5</v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>
        <f>IF(P640=0,"",P640/P638)</f>
        <v>0.5</v>
      </c>
      <c r="Q641" s="60"/>
      <c r="R641" s="18"/>
    </row>
    <row r="642" spans="2:18" ht="15.75" customHeight="1" x14ac:dyDescent="0.2">
      <c r="B642" s="14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4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2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2</v>
      </c>
      <c r="Q643" s="50">
        <f>IF(P643="","",P643/$P634)</f>
        <v>1</v>
      </c>
      <c r="R643" s="18"/>
    </row>
    <row r="644" spans="2:18" ht="15.75" customHeight="1" x14ac:dyDescent="0.2">
      <c r="B644" s="14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4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4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4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4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4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4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4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4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4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4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5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1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1</v>
      </c>
      <c r="Q656" s="46">
        <f>IF(P656=0,"",P656/$P640)</f>
        <v>1</v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1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1</v>
      </c>
      <c r="Q658" s="70">
        <f>IF(P658=0,"",P658/$P640)</f>
        <v>1</v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9" t="s">
        <v>25</v>
      </c>
      <c r="C673" s="160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2" t="s">
        <v>104</v>
      </c>
      <c r="R673" s="18"/>
    </row>
    <row r="674" spans="2:19" s="19" customFormat="1" ht="15.75" customHeight="1" thickBot="1" x14ac:dyDescent="0.3">
      <c r="B674" s="151" t="s">
        <v>60</v>
      </c>
      <c r="C674" s="152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3"/>
      <c r="S674" s="18"/>
    </row>
    <row r="675" spans="2:19" ht="12.75" customHeight="1" thickBot="1" x14ac:dyDescent="0.25">
      <c r="B675" s="153" t="s">
        <v>38</v>
      </c>
      <c r="C675" s="154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376</v>
      </c>
      <c r="H675" s="43">
        <f>VLOOKUP($B674,[5]Complaints!$A$4:$AJ$39,2)</f>
        <v>500</v>
      </c>
      <c r="I675" s="43">
        <f>VLOOKUP($B674,[6]Complaints!$A$4:$AJ$39,2)</f>
        <v>568</v>
      </c>
      <c r="J675" s="43">
        <f>VLOOKUP($B674,[7]Complaints!$A$4:$AJ$39,2)</f>
        <v>545</v>
      </c>
      <c r="K675" s="43">
        <f>VLOOKUP($B674,[8]Complaints!$A$4:$AJ$39,2)</f>
        <v>545</v>
      </c>
      <c r="L675" s="43">
        <f>VLOOKUP($B674,[9]Complaints!$A$4:$AJ$39,2)</f>
        <v>525</v>
      </c>
      <c r="M675" s="43">
        <f>VLOOKUP($B674,[10]Complaints!$A$4:$AJ$39,2)</f>
        <v>293</v>
      </c>
      <c r="N675" s="43">
        <f>VLOOKUP($B674,[11]Complaints!$A$4:$AJ$39,2)</f>
        <v>283</v>
      </c>
      <c r="O675" s="44">
        <f>VLOOKUP($B674,[12]Complaints!$A$4:$AJ$39,2)</f>
        <v>0</v>
      </c>
      <c r="P675" s="45">
        <f>SUM(D675:O675)</f>
        <v>4381</v>
      </c>
      <c r="Q675" s="46"/>
      <c r="R675" s="18"/>
    </row>
    <row r="676" spans="2:19" ht="15.75" customHeight="1" x14ac:dyDescent="0.2">
      <c r="B676" s="155" t="s">
        <v>94</v>
      </c>
      <c r="C676" s="156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2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2</v>
      </c>
      <c r="M676" s="48">
        <f>VLOOKUP($B674,[10]Complaints!$A$4:$AG$39,3,)</f>
        <v>0</v>
      </c>
      <c r="N676" s="48">
        <f>VLOOKUP($B674,[11]Complaints!$A$4:$AG$39,3,)</f>
        <v>1</v>
      </c>
      <c r="O676" s="49">
        <f>VLOOKUP($B674,[12]Complaints!$A$4:$AG$39,3,)</f>
        <v>0</v>
      </c>
      <c r="P676" s="45">
        <f>SUM(D676:O676)</f>
        <v>6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>
        <f t="shared" si="173"/>
        <v>0</v>
      </c>
      <c r="H677" s="52">
        <f t="shared" si="173"/>
        <v>0</v>
      </c>
      <c r="I677" s="52">
        <f t="shared" si="173"/>
        <v>3.5211267605633804E-3</v>
      </c>
      <c r="J677" s="52">
        <f t="shared" si="173"/>
        <v>0</v>
      </c>
      <c r="K677" s="52">
        <f t="shared" si="173"/>
        <v>0</v>
      </c>
      <c r="L677" s="52">
        <f t="shared" si="173"/>
        <v>3.8095238095238095E-3</v>
      </c>
      <c r="M677" s="52">
        <f t="shared" si="173"/>
        <v>0</v>
      </c>
      <c r="N677" s="52">
        <f t="shared" si="173"/>
        <v>3.5335689045936395E-3</v>
      </c>
      <c r="O677" s="53" t="str">
        <f t="shared" si="173"/>
        <v/>
      </c>
      <c r="P677" s="54">
        <f>IF(P676="","",P676/P675)</f>
        <v>1.3695503309746632E-3</v>
      </c>
      <c r="Q677" s="50"/>
      <c r="R677" s="18"/>
    </row>
    <row r="678" spans="2:19" s="21" customFormat="1" ht="15.75" customHeight="1" x14ac:dyDescent="0.2">
      <c r="B678" s="157" t="s">
        <v>95</v>
      </c>
      <c r="C678" s="158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1</v>
      </c>
      <c r="O678" s="49">
        <f>VLOOKUP($B674,[12]Complaints!$A$4:$AG$39,4,)</f>
        <v>0</v>
      </c>
      <c r="P678" s="55">
        <f t="shared" ref="P678" si="174">SUM(D678:O678)</f>
        <v>1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>
        <f t="shared" si="175"/>
        <v>0</v>
      </c>
      <c r="H679" s="52">
        <f t="shared" si="175"/>
        <v>0</v>
      </c>
      <c r="I679" s="52">
        <f t="shared" si="175"/>
        <v>0</v>
      </c>
      <c r="J679" s="52">
        <f t="shared" si="175"/>
        <v>0</v>
      </c>
      <c r="K679" s="52">
        <f t="shared" si="175"/>
        <v>0</v>
      </c>
      <c r="L679" s="52">
        <f t="shared" si="175"/>
        <v>0</v>
      </c>
      <c r="M679" s="52">
        <f t="shared" si="175"/>
        <v>0</v>
      </c>
      <c r="N679" s="52">
        <f t="shared" si="175"/>
        <v>3.5335689045936395E-3</v>
      </c>
      <c r="O679" s="53" t="str">
        <f t="shared" si="175"/>
        <v/>
      </c>
      <c r="P679" s="54">
        <f>IF(P678="","",P678/P675)</f>
        <v>2.2825838849577722E-4</v>
      </c>
      <c r="Q679" s="50"/>
      <c r="R679" s="18"/>
    </row>
    <row r="680" spans="2:19" ht="15.75" customHeight="1" x14ac:dyDescent="0.2">
      <c r="B680" s="157" t="s">
        <v>96</v>
      </c>
      <c r="C680" s="158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2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2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5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>
        <f t="shared" si="177"/>
        <v>0</v>
      </c>
      <c r="H681" s="52">
        <f t="shared" si="177"/>
        <v>0</v>
      </c>
      <c r="I681" s="52">
        <f t="shared" si="177"/>
        <v>3.5211267605633804E-3</v>
      </c>
      <c r="J681" s="52">
        <f t="shared" si="177"/>
        <v>0</v>
      </c>
      <c r="K681" s="52">
        <f t="shared" si="177"/>
        <v>0</v>
      </c>
      <c r="L681" s="52">
        <f t="shared" si="177"/>
        <v>3.8095238095238095E-3</v>
      </c>
      <c r="M681" s="52">
        <f t="shared" si="177"/>
        <v>0</v>
      </c>
      <c r="N681" s="52">
        <f t="shared" si="177"/>
        <v>0</v>
      </c>
      <c r="O681" s="53" t="str">
        <f t="shared" si="177"/>
        <v/>
      </c>
      <c r="P681" s="54">
        <f>IF(P680="","",P680/P675)</f>
        <v>1.1412919424788862E-3</v>
      </c>
      <c r="Q681" s="50"/>
      <c r="R681" s="18"/>
    </row>
    <row r="682" spans="2:19" ht="15.75" customHeight="1" x14ac:dyDescent="0.2">
      <c r="B682" s="161" t="s">
        <v>97</v>
      </c>
      <c r="C682" s="158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2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1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3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>
        <f>IF(I682=0,"",I682/I680)</f>
        <v>1</v>
      </c>
      <c r="J683" s="57" t="str">
        <f t="shared" ref="J683:O683" si="180">IF(J682=0,"",J682/J680)</f>
        <v/>
      </c>
      <c r="K683" s="57" t="str">
        <f t="shared" si="180"/>
        <v/>
      </c>
      <c r="L683" s="57">
        <f t="shared" si="180"/>
        <v>0.5</v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>
        <f>IF(P682=0,"",P682/P680)</f>
        <v>0.6</v>
      </c>
      <c r="Q683" s="60"/>
      <c r="R683" s="18"/>
    </row>
    <row r="684" spans="2:19" ht="15.75" customHeight="1" x14ac:dyDescent="0.2">
      <c r="B684" s="14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4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1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1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3</v>
      </c>
      <c r="Q685" s="50">
        <f>IF(P685="","",P685/$P676)</f>
        <v>0.5</v>
      </c>
      <c r="R685" s="18"/>
    </row>
    <row r="686" spans="2:19" ht="15.75" customHeight="1" x14ac:dyDescent="0.2">
      <c r="B686" s="14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4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1</v>
      </c>
      <c r="O687" s="49">
        <f>VLOOKUP($B674,[12]Complaints!$A$4:$AJ$39,10,)</f>
        <v>0</v>
      </c>
      <c r="P687" s="55">
        <f>SUM(D687:O687)</f>
        <v>1</v>
      </c>
      <c r="Q687" s="50">
        <f>IF(P687=0,"",P687/$P676)</f>
        <v>0.16666666666666666</v>
      </c>
      <c r="R687" s="18"/>
    </row>
    <row r="688" spans="2:19" ht="15.75" customHeight="1" x14ac:dyDescent="0.2">
      <c r="B688" s="14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4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1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1</v>
      </c>
      <c r="Q689" s="50">
        <f>IF(P689=0,"",P689/$P676)</f>
        <v>0.16666666666666666</v>
      </c>
    </row>
    <row r="690" spans="1:19" ht="15.75" customHeight="1" x14ac:dyDescent="0.2">
      <c r="B690" s="14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4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4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1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1</v>
      </c>
      <c r="Q692" s="50">
        <f>IF(P692=0,"",P692/$P676)</f>
        <v>0.16666666666666666</v>
      </c>
      <c r="R692" s="18"/>
    </row>
    <row r="693" spans="1:19" ht="15.75" customHeight="1" x14ac:dyDescent="0.2">
      <c r="B693" s="14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4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4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4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5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1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1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2</v>
      </c>
      <c r="Q698" s="46">
        <f>IF(P698=0,"",P698/$P682)</f>
        <v>0.66666666666666663</v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1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1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2</v>
      </c>
      <c r="Q700" s="70">
        <f>IF(P700=0,"",P700/$P682)</f>
        <v>0.66666666666666663</v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1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1</v>
      </c>
      <c r="Q708" s="50">
        <f>IF(P708=0,"",P708/$P682)</f>
        <v>0.33333333333333331</v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1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1</v>
      </c>
      <c r="Q709" s="70">
        <f>IF(P709=0,"",P709/$P682)</f>
        <v>0.33333333333333331</v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9" t="s">
        <v>26</v>
      </c>
      <c r="C715" s="160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2" t="s">
        <v>104</v>
      </c>
      <c r="R715" s="18"/>
    </row>
    <row r="716" spans="2:18" ht="15.75" customHeight="1" thickBot="1" x14ac:dyDescent="0.3">
      <c r="B716" s="151" t="s">
        <v>59</v>
      </c>
      <c r="C716" s="152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3"/>
      <c r="R716" s="18"/>
    </row>
    <row r="717" spans="2:18" ht="12.75" customHeight="1" thickBot="1" x14ac:dyDescent="0.25">
      <c r="B717" s="153" t="s">
        <v>38</v>
      </c>
      <c r="C717" s="154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698</v>
      </c>
      <c r="H717" s="43">
        <f>VLOOKUP($B716,[5]Complaints!$A$4:$AJ$39,2)</f>
        <v>846</v>
      </c>
      <c r="I717" s="43">
        <f>VLOOKUP($B716,[6]Complaints!$A$4:$AJ$39,2)</f>
        <v>954</v>
      </c>
      <c r="J717" s="43">
        <f>VLOOKUP($B716,[7]Complaints!$A$4:$AJ$39,2)</f>
        <v>836</v>
      </c>
      <c r="K717" s="43">
        <f>VLOOKUP($B716,[8]Complaints!$A$4:$AJ$39,2)</f>
        <v>836</v>
      </c>
      <c r="L717" s="43">
        <f>VLOOKUP($B716,[9]Complaints!$A$4:$AJ$39,2)</f>
        <v>784</v>
      </c>
      <c r="M717" s="43">
        <f>VLOOKUP($B716,[10]Complaints!$A$4:$AJ$39,2)</f>
        <v>598</v>
      </c>
      <c r="N717" s="43">
        <f>VLOOKUP($B716,[11]Complaints!$A$4:$AJ$39,2)</f>
        <v>683</v>
      </c>
      <c r="O717" s="44">
        <f>VLOOKUP($B716,[12]Complaints!$A$4:$AJ$39,2)</f>
        <v>0</v>
      </c>
      <c r="P717" s="45">
        <f>SUM(D717:O717)</f>
        <v>7292</v>
      </c>
      <c r="Q717" s="46"/>
      <c r="R717" s="18"/>
    </row>
    <row r="718" spans="2:18" ht="15.75" customHeight="1" x14ac:dyDescent="0.2">
      <c r="B718" s="155" t="s">
        <v>94</v>
      </c>
      <c r="C718" s="156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3</v>
      </c>
      <c r="K718" s="48">
        <f>VLOOKUP($B716,[8]Complaints!$A$4:$AG$39,3,)</f>
        <v>3</v>
      </c>
      <c r="L718" s="48">
        <f>VLOOKUP($B716,[9]Complaints!$A$4:$AG$39,3,)</f>
        <v>1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7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>
        <f t="shared" si="184"/>
        <v>0</v>
      </c>
      <c r="H719" s="52">
        <f t="shared" si="184"/>
        <v>0</v>
      </c>
      <c r="I719" s="52">
        <f t="shared" si="184"/>
        <v>0</v>
      </c>
      <c r="J719" s="52">
        <f t="shared" si="184"/>
        <v>3.5885167464114833E-3</v>
      </c>
      <c r="K719" s="52">
        <f t="shared" si="184"/>
        <v>3.5885167464114833E-3</v>
      </c>
      <c r="L719" s="52">
        <f t="shared" si="184"/>
        <v>1.2755102040816326E-3</v>
      </c>
      <c r="M719" s="52">
        <f t="shared" si="184"/>
        <v>0</v>
      </c>
      <c r="N719" s="52">
        <f t="shared" si="184"/>
        <v>0</v>
      </c>
      <c r="O719" s="53" t="str">
        <f t="shared" si="184"/>
        <v/>
      </c>
      <c r="P719" s="54">
        <f>IF(P718="","",P718/P717)</f>
        <v>9.5995611629182663E-4</v>
      </c>
      <c r="Q719" s="50"/>
      <c r="R719" s="18"/>
    </row>
    <row r="720" spans="2:18" s="21" customFormat="1" ht="15.75" customHeight="1" x14ac:dyDescent="0.2">
      <c r="B720" s="157" t="s">
        <v>95</v>
      </c>
      <c r="C720" s="158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1</v>
      </c>
      <c r="K720" s="48">
        <f>VLOOKUP($B716,[8]Complaints!$A$4:$AG$39,4,)</f>
        <v>1</v>
      </c>
      <c r="L720" s="48">
        <f>VLOOKUP($B716,[9]Complaints!$A$4:$AG$39,4,)</f>
        <v>1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3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>
        <f t="shared" si="186"/>
        <v>0</v>
      </c>
      <c r="H721" s="52">
        <f t="shared" si="186"/>
        <v>0</v>
      </c>
      <c r="I721" s="52">
        <f t="shared" si="186"/>
        <v>0</v>
      </c>
      <c r="J721" s="52">
        <f t="shared" si="186"/>
        <v>1.1961722488038277E-3</v>
      </c>
      <c r="K721" s="52">
        <f t="shared" si="186"/>
        <v>1.1961722488038277E-3</v>
      </c>
      <c r="L721" s="52">
        <f t="shared" si="186"/>
        <v>1.2755102040816326E-3</v>
      </c>
      <c r="M721" s="52">
        <f t="shared" si="186"/>
        <v>0</v>
      </c>
      <c r="N721" s="52">
        <f t="shared" si="186"/>
        <v>0</v>
      </c>
      <c r="O721" s="53" t="str">
        <f t="shared" si="186"/>
        <v/>
      </c>
      <c r="P721" s="54">
        <f>IF(P720="","",P720/P717)</f>
        <v>4.1140976412506856E-4</v>
      </c>
      <c r="Q721" s="50"/>
      <c r="R721" s="18"/>
    </row>
    <row r="722" spans="2:18" ht="15.75" customHeight="1" x14ac:dyDescent="0.2">
      <c r="B722" s="157" t="s">
        <v>96</v>
      </c>
      <c r="C722" s="158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2</v>
      </c>
      <c r="K722" s="48">
        <f>VLOOKUP($B716,[8]Complaints!$A$4:$AG$39,5,)</f>
        <v>2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4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>
        <f t="shared" si="188"/>
        <v>0</v>
      </c>
      <c r="H723" s="52">
        <f t="shared" si="188"/>
        <v>0</v>
      </c>
      <c r="I723" s="52">
        <f t="shared" si="188"/>
        <v>0</v>
      </c>
      <c r="J723" s="52">
        <f t="shared" si="188"/>
        <v>2.3923444976076554E-3</v>
      </c>
      <c r="K723" s="52">
        <f t="shared" si="188"/>
        <v>2.3923444976076554E-3</v>
      </c>
      <c r="L723" s="52">
        <f t="shared" si="188"/>
        <v>0</v>
      </c>
      <c r="M723" s="52">
        <f t="shared" si="188"/>
        <v>0</v>
      </c>
      <c r="N723" s="52">
        <f t="shared" si="188"/>
        <v>0</v>
      </c>
      <c r="O723" s="53" t="str">
        <f t="shared" si="188"/>
        <v/>
      </c>
      <c r="P723" s="54">
        <f>IF(P722="","",P722/P717)</f>
        <v>5.4854635216675812E-4</v>
      </c>
      <c r="Q723" s="50"/>
      <c r="R723" s="18"/>
    </row>
    <row r="724" spans="2:18" ht="15.75" customHeight="1" x14ac:dyDescent="0.2">
      <c r="B724" s="161" t="s">
        <v>97</v>
      </c>
      <c r="C724" s="158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1</v>
      </c>
      <c r="K724" s="48">
        <f>VLOOKUP($B716,[8]Complaints!$A$4:$AG$39,6,)</f>
        <v>1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2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>
        <f t="shared" ref="J725:O725" si="191">IF(J724=0,"",J724/J722)</f>
        <v>0.5</v>
      </c>
      <c r="K725" s="57">
        <f t="shared" si="191"/>
        <v>0.5</v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>
        <f>IF(P724=0,"",P724/P722)</f>
        <v>0.5</v>
      </c>
      <c r="Q725" s="60"/>
      <c r="R725" s="18"/>
    </row>
    <row r="726" spans="2:18" ht="15.75" customHeight="1" x14ac:dyDescent="0.2">
      <c r="B726" s="14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4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1</v>
      </c>
      <c r="K727" s="48">
        <f>VLOOKUP($B716,[8]Complaints!$A$4:$AJ$39,8,)</f>
        <v>1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2</v>
      </c>
      <c r="Q727" s="50">
        <f>IF(P727="","",P727/$P718)</f>
        <v>0.2857142857142857</v>
      </c>
      <c r="R727" s="18"/>
    </row>
    <row r="728" spans="2:18" ht="15.75" customHeight="1" x14ac:dyDescent="0.2">
      <c r="B728" s="14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4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1</v>
      </c>
      <c r="K729" s="48">
        <f>VLOOKUP($B716,[8]Complaints!$A$4:$AJ$39,10,)</f>
        <v>2</v>
      </c>
      <c r="L729" s="48">
        <f>VLOOKUP($B716,[9]Complaints!$A$4:$AJ$39,10,)</f>
        <v>1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4</v>
      </c>
      <c r="Q729" s="50">
        <f>IF(P729=0,"",P729/$P718)</f>
        <v>0.5714285714285714</v>
      </c>
      <c r="R729" s="18"/>
    </row>
    <row r="730" spans="2:18" ht="15.75" customHeight="1" x14ac:dyDescent="0.2">
      <c r="B730" s="14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4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4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4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4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1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1</v>
      </c>
      <c r="Q734" s="50">
        <f>IF(P734=0,"",P734/$P718)</f>
        <v>0.14285714285714285</v>
      </c>
      <c r="R734" s="18"/>
    </row>
    <row r="735" spans="2:18" ht="15.75" customHeight="1" x14ac:dyDescent="0.2">
      <c r="B735" s="14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4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4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4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5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1</v>
      </c>
      <c r="K740" s="63">
        <f>VLOOKUP($B716,[8]Complaints!$A$4:$AJ$39,21,)</f>
        <v>1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2</v>
      </c>
      <c r="Q740" s="46">
        <f>IF(P740=0,"",P740/$P724)</f>
        <v>1</v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1</v>
      </c>
      <c r="K745" s="67">
        <f>VLOOKUP($B716,[8]Complaints!$A$4:$AJ$39,26,)</f>
        <v>1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2</v>
      </c>
      <c r="Q745" s="70">
        <f>IF(P745=0,"",P745/$P724)</f>
        <v>1</v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9" t="s">
        <v>27</v>
      </c>
      <c r="C757" s="160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2" t="s">
        <v>104</v>
      </c>
      <c r="R757" s="18"/>
    </row>
    <row r="758" spans="2:18" ht="15.75" customHeight="1" thickBot="1" x14ac:dyDescent="0.3">
      <c r="B758" s="151" t="s">
        <v>58</v>
      </c>
      <c r="C758" s="152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3"/>
      <c r="R758" s="18"/>
    </row>
    <row r="759" spans="2:18" ht="12.75" customHeight="1" thickBot="1" x14ac:dyDescent="0.25">
      <c r="B759" s="153" t="s">
        <v>38</v>
      </c>
      <c r="C759" s="154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1771</v>
      </c>
      <c r="H759" s="43">
        <f>VLOOKUP($B758,[5]Complaints!$A$4:$AJ$39,2)</f>
        <v>2007</v>
      </c>
      <c r="I759" s="43">
        <f>VLOOKUP($B758,[6]Complaints!$A$4:$AJ$39,2)</f>
        <v>2145</v>
      </c>
      <c r="J759" s="43">
        <f>VLOOKUP($B758,[7]Complaints!$A$4:$AJ$39,2)</f>
        <v>2085</v>
      </c>
      <c r="K759" s="43">
        <f>VLOOKUP($B758,[8]Complaints!$A$4:$AJ$39,2)</f>
        <v>2085</v>
      </c>
      <c r="L759" s="43">
        <f>VLOOKUP($B758,[9]Complaints!$A$4:$AJ$39,2)</f>
        <v>1894</v>
      </c>
      <c r="M759" s="43">
        <f>VLOOKUP($B758,[10]Complaints!$A$4:$AJ$39,2)</f>
        <v>1504</v>
      </c>
      <c r="N759" s="43">
        <f>VLOOKUP($B758,[11]Complaints!$A$4:$AJ$39,2)</f>
        <v>1587</v>
      </c>
      <c r="O759" s="44">
        <f>VLOOKUP($B758,[12]Complaints!$A$4:$AJ$39,2)</f>
        <v>0</v>
      </c>
      <c r="P759" s="45">
        <f>SUM(D759:O759)</f>
        <v>17442</v>
      </c>
      <c r="Q759" s="46"/>
      <c r="R759" s="18"/>
    </row>
    <row r="760" spans="2:18" ht="15.75" customHeight="1" x14ac:dyDescent="0.2">
      <c r="B760" s="155" t="s">
        <v>94</v>
      </c>
      <c r="C760" s="156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1</v>
      </c>
      <c r="H760" s="48">
        <f>VLOOKUP($B758,[5]Complaints!$A$4:$AG$39,3,)</f>
        <v>5</v>
      </c>
      <c r="I760" s="48">
        <f>VLOOKUP($B758,[6]Complaints!$A$4:$AG$39,3,)</f>
        <v>3</v>
      </c>
      <c r="J760" s="48">
        <f>VLOOKUP($B758,[7]Complaints!$A$4:$AG$39,3,)</f>
        <v>1</v>
      </c>
      <c r="K760" s="48">
        <f>VLOOKUP($B758,[8]Complaints!$A$4:$AG$39,3,)</f>
        <v>1</v>
      </c>
      <c r="L760" s="48">
        <f>VLOOKUP($B758,[9]Complaints!$A$4:$AG$39,3,)</f>
        <v>2</v>
      </c>
      <c r="M760" s="48">
        <f>VLOOKUP($B758,[10]Complaints!$A$4:$AG$39,3,)</f>
        <v>2</v>
      </c>
      <c r="N760" s="48">
        <f>VLOOKUP($B758,[11]Complaints!$A$4:$AG$39,3,)</f>
        <v>1</v>
      </c>
      <c r="O760" s="49">
        <f>VLOOKUP($B758,[12]Complaints!$A$4:$AG$39,3,)</f>
        <v>0</v>
      </c>
      <c r="P760" s="45">
        <f>SUM(D760:O760)</f>
        <v>21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>
        <f t="shared" si="195"/>
        <v>5.6465273856578201E-4</v>
      </c>
      <c r="H761" s="52">
        <f t="shared" si="195"/>
        <v>2.4912805181863478E-3</v>
      </c>
      <c r="I761" s="52">
        <f t="shared" si="195"/>
        <v>1.3986013986013986E-3</v>
      </c>
      <c r="J761" s="52">
        <f t="shared" si="195"/>
        <v>4.7961630695443646E-4</v>
      </c>
      <c r="K761" s="52">
        <f t="shared" si="195"/>
        <v>4.7961630695443646E-4</v>
      </c>
      <c r="L761" s="52">
        <f t="shared" si="195"/>
        <v>1.0559662090813093E-3</v>
      </c>
      <c r="M761" s="52">
        <f t="shared" si="195"/>
        <v>1.3297872340425532E-3</v>
      </c>
      <c r="N761" s="52">
        <f t="shared" si="195"/>
        <v>6.3011972274732201E-4</v>
      </c>
      <c r="O761" s="53" t="str">
        <f t="shared" si="195"/>
        <v/>
      </c>
      <c r="P761" s="54">
        <f>IF(P760="","",P760/P759)</f>
        <v>1.2039903680770554E-3</v>
      </c>
      <c r="Q761" s="50"/>
      <c r="R761" s="18"/>
    </row>
    <row r="762" spans="2:18" s="21" customFormat="1" ht="15.75" customHeight="1" x14ac:dyDescent="0.2">
      <c r="B762" s="157" t="s">
        <v>95</v>
      </c>
      <c r="C762" s="158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1</v>
      </c>
      <c r="I762" s="48">
        <f>VLOOKUP($B758,[6]Complaints!$A$4:$AG$39,4,)</f>
        <v>3</v>
      </c>
      <c r="J762" s="48">
        <f>VLOOKUP($B758,[7]Complaints!$A$4:$AG$39,4,)</f>
        <v>1</v>
      </c>
      <c r="K762" s="48">
        <f>VLOOKUP($B758,[8]Complaints!$A$4:$AG$39,4,)</f>
        <v>1</v>
      </c>
      <c r="L762" s="48">
        <f>VLOOKUP($B758,[9]Complaints!$A$4:$AG$39,4,)</f>
        <v>0</v>
      </c>
      <c r="M762" s="48">
        <f>VLOOKUP($B758,[10]Complaints!$A$4:$AG$39,4,)</f>
        <v>2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9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>
        <f t="shared" si="197"/>
        <v>0</v>
      </c>
      <c r="H763" s="52">
        <f t="shared" si="197"/>
        <v>4.9825610363726954E-4</v>
      </c>
      <c r="I763" s="52">
        <f t="shared" si="197"/>
        <v>1.3986013986013986E-3</v>
      </c>
      <c r="J763" s="52">
        <f t="shared" si="197"/>
        <v>4.7961630695443646E-4</v>
      </c>
      <c r="K763" s="52">
        <f t="shared" si="197"/>
        <v>4.7961630695443646E-4</v>
      </c>
      <c r="L763" s="52">
        <f t="shared" si="197"/>
        <v>0</v>
      </c>
      <c r="M763" s="52">
        <f t="shared" si="197"/>
        <v>1.3297872340425532E-3</v>
      </c>
      <c r="N763" s="52">
        <f t="shared" si="197"/>
        <v>0</v>
      </c>
      <c r="O763" s="53" t="str">
        <f t="shared" si="197"/>
        <v/>
      </c>
      <c r="P763" s="54">
        <f>IF(P762="","",P762/P759)</f>
        <v>5.1599587203302369E-4</v>
      </c>
      <c r="Q763" s="50"/>
      <c r="R763" s="18"/>
    </row>
    <row r="764" spans="2:18" ht="15.75" customHeight="1" x14ac:dyDescent="0.2">
      <c r="B764" s="157" t="s">
        <v>96</v>
      </c>
      <c r="C764" s="158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1</v>
      </c>
      <c r="H764" s="48">
        <f>VLOOKUP($B758,[5]Complaints!$A$4:$AG$39,5,)</f>
        <v>4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2</v>
      </c>
      <c r="M764" s="48">
        <f>VLOOKUP($B758,[10]Complaints!$A$4:$AG$39,5,)</f>
        <v>0</v>
      </c>
      <c r="N764" s="48">
        <f>VLOOKUP($B758,[11]Complaints!$A$4:$AG$39,5,)</f>
        <v>1</v>
      </c>
      <c r="O764" s="49">
        <f>VLOOKUP($B758,[12]Complaints!$A$4:$AG$39,5,)</f>
        <v>0</v>
      </c>
      <c r="P764" s="55">
        <f t="shared" ref="P764" si="198">SUM(D764:O764)</f>
        <v>12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>
        <f t="shared" si="199"/>
        <v>5.6465273856578201E-4</v>
      </c>
      <c r="H765" s="52">
        <f t="shared" si="199"/>
        <v>1.9930244145490781E-3</v>
      </c>
      <c r="I765" s="52">
        <f t="shared" si="199"/>
        <v>0</v>
      </c>
      <c r="J765" s="52">
        <f t="shared" si="199"/>
        <v>0</v>
      </c>
      <c r="K765" s="52">
        <f t="shared" si="199"/>
        <v>0</v>
      </c>
      <c r="L765" s="52">
        <f t="shared" si="199"/>
        <v>1.0559662090813093E-3</v>
      </c>
      <c r="M765" s="52">
        <f t="shared" si="199"/>
        <v>0</v>
      </c>
      <c r="N765" s="52">
        <f t="shared" si="199"/>
        <v>6.3011972274732201E-4</v>
      </c>
      <c r="O765" s="53" t="str">
        <f t="shared" si="199"/>
        <v/>
      </c>
      <c r="P765" s="54">
        <f>IF(P764="","",P764/P759)</f>
        <v>6.8799449604403163E-4</v>
      </c>
      <c r="Q765" s="50"/>
      <c r="R765" s="18"/>
    </row>
    <row r="766" spans="2:18" ht="15.75" customHeight="1" x14ac:dyDescent="0.2">
      <c r="B766" s="161" t="s">
        <v>97</v>
      </c>
      <c r="C766" s="158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4</v>
      </c>
      <c r="I766" s="48">
        <f>VLOOKUP($B758,[6]Complaints!$A$4:$AG$39,6,)</f>
        <v>0</v>
      </c>
      <c r="J766" s="48">
        <f>VLOOKUP($B758,[7]Complaints!$A$4:$AG$39,6,)</f>
        <v>1</v>
      </c>
      <c r="K766" s="48">
        <f>VLOOKUP($B758,[8]Complaints!$A$4:$AG$39,6,)</f>
        <v>1</v>
      </c>
      <c r="L766" s="48">
        <f>VLOOKUP($B758,[9]Complaints!$A$4:$AG$39,6,)</f>
        <v>1</v>
      </c>
      <c r="M766" s="48">
        <f>VLOOKUP($B758,[10]Complaints!$A$4:$AG$39,6,)</f>
        <v>0</v>
      </c>
      <c r="N766" s="48">
        <f>VLOOKUP($B758,[11]Complaints!$A$4:$AG$39,6,)</f>
        <v>1</v>
      </c>
      <c r="O766" s="49">
        <f>VLOOKUP($B758,[12]Complaints!$A$4:$AG$39,6,)</f>
        <v>0</v>
      </c>
      <c r="P766" s="55">
        <f t="shared" ref="P766" si="200">SUM(D766:O766)</f>
        <v>13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>
        <f t="shared" si="201"/>
        <v>1</v>
      </c>
      <c r="I767" s="57" t="str">
        <f>IF(I766=0,"",I766/I764)</f>
        <v/>
      </c>
      <c r="J767" s="57" t="e">
        <f t="shared" ref="J767:O767" si="202">IF(J766=0,"",J766/J764)</f>
        <v>#DIV/0!</v>
      </c>
      <c r="K767" s="57" t="e">
        <f t="shared" si="202"/>
        <v>#DIV/0!</v>
      </c>
      <c r="L767" s="57">
        <f t="shared" si="202"/>
        <v>0.5</v>
      </c>
      <c r="M767" s="57" t="str">
        <f t="shared" si="202"/>
        <v/>
      </c>
      <c r="N767" s="57">
        <f t="shared" si="202"/>
        <v>1</v>
      </c>
      <c r="O767" s="58" t="str">
        <f t="shared" si="202"/>
        <v/>
      </c>
      <c r="P767" s="59">
        <f>IF(P766=0,"",P766/P764)</f>
        <v>1.0833333333333333</v>
      </c>
      <c r="Q767" s="60"/>
      <c r="R767" s="18"/>
    </row>
    <row r="768" spans="2:18" ht="15.75" customHeight="1" x14ac:dyDescent="0.2">
      <c r="B768" s="14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2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3</v>
      </c>
      <c r="Q768" s="46">
        <f>IF(P768=0,"",P768/$P760)</f>
        <v>0.14285714285714285</v>
      </c>
      <c r="R768" s="18"/>
    </row>
    <row r="769" spans="2:18" ht="15.75" customHeight="1" x14ac:dyDescent="0.2">
      <c r="B769" s="14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3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2</v>
      </c>
      <c r="M769" s="48">
        <f>VLOOKUP($B758,[10]Complaints!$A$4:$AJ$39,8,)</f>
        <v>0</v>
      </c>
      <c r="N769" s="48">
        <f>VLOOKUP($B758,[11]Complaints!$A$4:$AJ$39,8,)</f>
        <v>1</v>
      </c>
      <c r="O769" s="49">
        <f>VLOOKUP($B758,[12]Complaints!$A$4:$AJ$39,8,)</f>
        <v>0</v>
      </c>
      <c r="P769" s="55">
        <f t="shared" ref="P769:P770" si="203">SUM(D769:O769)</f>
        <v>9</v>
      </c>
      <c r="Q769" s="50">
        <f>IF(P769="","",P769/$P760)</f>
        <v>0.42857142857142855</v>
      </c>
      <c r="R769" s="18"/>
    </row>
    <row r="770" spans="2:18" ht="15.75" customHeight="1" x14ac:dyDescent="0.2">
      <c r="B770" s="14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1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1</v>
      </c>
      <c r="Q770" s="50">
        <f>IF(P770=0,"",P770/$P760)</f>
        <v>4.7619047619047616E-2</v>
      </c>
      <c r="R770" s="18"/>
    </row>
    <row r="771" spans="2:18" ht="15.75" customHeight="1" x14ac:dyDescent="0.2">
      <c r="B771" s="14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1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2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3</v>
      </c>
      <c r="Q771" s="50">
        <f>IF(P771=0,"",P771/$P760)</f>
        <v>0.14285714285714285</v>
      </c>
      <c r="R771" s="18"/>
    </row>
    <row r="772" spans="2:18" ht="15.75" customHeight="1" x14ac:dyDescent="0.2">
      <c r="B772" s="14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4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4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1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1</v>
      </c>
      <c r="Q774" s="50">
        <f>IF(P774=0,"",P774/$P760)</f>
        <v>4.7619047619047616E-2</v>
      </c>
      <c r="R774" s="18"/>
    </row>
    <row r="775" spans="2:18" ht="15.75" customHeight="1" x14ac:dyDescent="0.2">
      <c r="B775" s="14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4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1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2</v>
      </c>
      <c r="Q776" s="50">
        <f>IF(P776=0,"",P776/$P760)</f>
        <v>9.5238095238095233E-2</v>
      </c>
      <c r="R776" s="18"/>
    </row>
    <row r="777" spans="2:18" ht="15.75" customHeight="1" x14ac:dyDescent="0.2">
      <c r="B777" s="14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4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4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4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5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1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1</v>
      </c>
      <c r="Q781" s="50">
        <f>IF(P781=0,"",P781/$P760)</f>
        <v>4.7619047619047616E-2</v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4</v>
      </c>
      <c r="I782" s="63">
        <f>VLOOKUP($B758,[6]Complaints!$A$4:$AJ$39,21,)</f>
        <v>3</v>
      </c>
      <c r="J782" s="63">
        <f>VLOOKUP($B758,[7]Complaints!$A$4:$AJ$39,21,)</f>
        <v>1</v>
      </c>
      <c r="K782" s="63">
        <f>VLOOKUP($B758,[8]Complaints!$A$4:$AJ$39,21,)</f>
        <v>1</v>
      </c>
      <c r="L782" s="63">
        <f>VLOOKUP($B758,[9]Complaints!$A$4:$AJ$39,21,)</f>
        <v>1</v>
      </c>
      <c r="M782" s="63">
        <f>VLOOKUP($B758,[10]Complaints!$A$4:$AJ$39,21,)</f>
        <v>0</v>
      </c>
      <c r="N782" s="63">
        <f>VLOOKUP($B758,[11]Complaints!$A$4:$AJ$39,21,)</f>
        <v>1</v>
      </c>
      <c r="O782" s="64">
        <f>VLOOKUP($B758,[12]Complaints!$A$4:$AJ$39,21,)</f>
        <v>0</v>
      </c>
      <c r="P782" s="65">
        <f>SUM(D782:O782)</f>
        <v>15</v>
      </c>
      <c r="Q782" s="46">
        <f>IF(P782=0,"",P782/$P766)</f>
        <v>1.1538461538461537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1</v>
      </c>
      <c r="I783" s="67">
        <f>VLOOKUP($B758,[6]Complaints!$A$4:$AJ$39,22,)</f>
        <v>2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4</v>
      </c>
      <c r="Q783" s="70">
        <f>IF(P783=0,"",P783/$P766)</f>
        <v>0.30769230769230771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3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1</v>
      </c>
      <c r="M784" s="67">
        <f>VLOOKUP($B758,[10]Complaints!$A$4:$AJ$39,23,)</f>
        <v>0</v>
      </c>
      <c r="N784" s="67">
        <f>VLOOKUP($B758,[11]Complaints!$A$4:$AJ$39,23,)</f>
        <v>1</v>
      </c>
      <c r="O784" s="68">
        <f>VLOOKUP($B758,[12]Complaints!$A$4:$AJ$39,23,)</f>
        <v>0</v>
      </c>
      <c r="P784" s="69">
        <f t="shared" si="205"/>
        <v>8</v>
      </c>
      <c r="Q784" s="70">
        <f>IF(P784=0,"",P784/$P766)</f>
        <v>0.61538461538461542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1</v>
      </c>
      <c r="J786" s="67">
        <f>VLOOKUP($B758,[7]Complaints!$A$4:$AJ$39,25,)</f>
        <v>1</v>
      </c>
      <c r="K786" s="67">
        <f>VLOOKUP($B758,[8]Complaints!$A$4:$AJ$39,25,)</f>
        <v>1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3</v>
      </c>
      <c r="Q786" s="70">
        <f>IF(P786=0,"",P786/$P766)</f>
        <v>0.23076923076923078</v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7.6923076923076927E-2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7.6923076923076927E-2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9" t="s">
        <v>42</v>
      </c>
      <c r="C799" s="160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2" t="s">
        <v>104</v>
      </c>
      <c r="R799" s="18"/>
    </row>
    <row r="800" spans="1:19" s="21" customFormat="1" ht="15.75" customHeight="1" thickBot="1" x14ac:dyDescent="0.3">
      <c r="B800" s="151" t="s">
        <v>57</v>
      </c>
      <c r="C800" s="152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3"/>
      <c r="S800" s="18"/>
    </row>
    <row r="801" spans="2:18" ht="12.75" customHeight="1" thickBot="1" x14ac:dyDescent="0.25">
      <c r="B801" s="153" t="s">
        <v>38</v>
      </c>
      <c r="C801" s="154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1605</v>
      </c>
      <c r="H801" s="43">
        <f>VLOOKUP($B800,[5]Complaints!$A$4:$AJ$39,2)</f>
        <v>1758</v>
      </c>
      <c r="I801" s="43">
        <f>VLOOKUP($B800,[6]Complaints!$A$4:$AJ$39,2)</f>
        <v>2028</v>
      </c>
      <c r="J801" s="43">
        <f>VLOOKUP($B800,[7]Complaints!$A$4:$AJ$39,2)</f>
        <v>1947</v>
      </c>
      <c r="K801" s="43">
        <f>VLOOKUP($B800,[8]Complaints!$A$4:$AJ$39,2)</f>
        <v>1947</v>
      </c>
      <c r="L801" s="43">
        <f>VLOOKUP($B800,[9]Complaints!$A$4:$AJ$39,2)</f>
        <v>1997</v>
      </c>
      <c r="M801" s="43">
        <f>VLOOKUP($B800,[10]Complaints!$A$4:$AJ$39,2)</f>
        <v>1432</v>
      </c>
      <c r="N801" s="43">
        <f>VLOOKUP($B800,[11]Complaints!$A$4:$AJ$39,2)</f>
        <v>1458</v>
      </c>
      <c r="O801" s="44">
        <f>VLOOKUP($B800,[12]Complaints!$A$4:$AJ$39,2)</f>
        <v>0</v>
      </c>
      <c r="P801" s="45">
        <f>SUM(D801:O801)</f>
        <v>16182</v>
      </c>
      <c r="Q801" s="46"/>
      <c r="R801" s="18"/>
    </row>
    <row r="802" spans="2:18" ht="15.75" customHeight="1" x14ac:dyDescent="0.2">
      <c r="B802" s="155" t="s">
        <v>94</v>
      </c>
      <c r="C802" s="156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3</v>
      </c>
      <c r="H802" s="48">
        <f>VLOOKUP($B800,[5]Complaints!$A$4:$AG$39,3,)</f>
        <v>1</v>
      </c>
      <c r="I802" s="48">
        <f>VLOOKUP($B800,[6]Complaints!$A$4:$AG$39,3,)</f>
        <v>2</v>
      </c>
      <c r="J802" s="48">
        <f>VLOOKUP($B800,[7]Complaints!$A$4:$AG$39,3,)</f>
        <v>2</v>
      </c>
      <c r="K802" s="48">
        <f>VLOOKUP($B800,[8]Complaints!$A$4:$AG$39,3,)</f>
        <v>2</v>
      </c>
      <c r="L802" s="48">
        <f>VLOOKUP($B800,[9]Complaints!$A$4:$AG$39,3,)</f>
        <v>0</v>
      </c>
      <c r="M802" s="48">
        <f>VLOOKUP($B800,[10]Complaints!$A$4:$AG$39,3,)</f>
        <v>3</v>
      </c>
      <c r="N802" s="48">
        <f>VLOOKUP($B800,[11]Complaints!$A$4:$AG$39,3,)</f>
        <v>2</v>
      </c>
      <c r="O802" s="49">
        <f>VLOOKUP($B800,[12]Complaints!$A$4:$AG$39,3,)</f>
        <v>0</v>
      </c>
      <c r="P802" s="45">
        <f>SUM(D802:O802)</f>
        <v>16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>
        <f t="shared" si="206"/>
        <v>1.869158878504673E-3</v>
      </c>
      <c r="H803" s="52">
        <f t="shared" si="206"/>
        <v>5.6882821387940839E-4</v>
      </c>
      <c r="I803" s="52">
        <f t="shared" si="206"/>
        <v>9.8619329388560163E-4</v>
      </c>
      <c r="J803" s="52">
        <f t="shared" si="206"/>
        <v>1.0272213662044171E-3</v>
      </c>
      <c r="K803" s="52">
        <f t="shared" si="206"/>
        <v>1.0272213662044171E-3</v>
      </c>
      <c r="L803" s="52">
        <f t="shared" si="206"/>
        <v>0</v>
      </c>
      <c r="M803" s="52">
        <f t="shared" si="206"/>
        <v>2.0949720670391061E-3</v>
      </c>
      <c r="N803" s="52">
        <f t="shared" si="206"/>
        <v>1.3717421124828531E-3</v>
      </c>
      <c r="O803" s="53" t="str">
        <f t="shared" si="206"/>
        <v/>
      </c>
      <c r="P803" s="54">
        <f>IF(P802="","",P802/P801)</f>
        <v>9.8875293536027694E-4</v>
      </c>
      <c r="Q803" s="50"/>
      <c r="R803" s="18"/>
    </row>
    <row r="804" spans="2:18" s="21" customFormat="1" ht="15.75" customHeight="1" x14ac:dyDescent="0.2">
      <c r="B804" s="157" t="s">
        <v>95</v>
      </c>
      <c r="C804" s="158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1</v>
      </c>
      <c r="N804" s="48">
        <f>VLOOKUP($B800,[11]Complaints!$A$4:$AG$39,4,)</f>
        <v>1</v>
      </c>
      <c r="O804" s="49">
        <f>VLOOKUP($B800,[12]Complaints!$A$4:$AG$39,4,)</f>
        <v>0</v>
      </c>
      <c r="P804" s="55">
        <f t="shared" ref="P804" si="207">SUM(D804:O804)</f>
        <v>2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>
        <f t="shared" si="208"/>
        <v>0</v>
      </c>
      <c r="H805" s="52">
        <f t="shared" si="208"/>
        <v>0</v>
      </c>
      <c r="I805" s="52">
        <f t="shared" si="208"/>
        <v>0</v>
      </c>
      <c r="J805" s="52">
        <f t="shared" si="208"/>
        <v>0</v>
      </c>
      <c r="K805" s="52">
        <f t="shared" si="208"/>
        <v>0</v>
      </c>
      <c r="L805" s="52">
        <f t="shared" si="208"/>
        <v>0</v>
      </c>
      <c r="M805" s="52">
        <f t="shared" si="208"/>
        <v>6.9832402234636874E-4</v>
      </c>
      <c r="N805" s="52">
        <f t="shared" si="208"/>
        <v>6.8587105624142656E-4</v>
      </c>
      <c r="O805" s="53" t="str">
        <f t="shared" si="208"/>
        <v/>
      </c>
      <c r="P805" s="54">
        <f>IF(P804="","",P804/P801)</f>
        <v>1.2359411692003462E-4</v>
      </c>
      <c r="Q805" s="50"/>
      <c r="R805" s="18"/>
    </row>
    <row r="806" spans="2:18" ht="15.75" customHeight="1" x14ac:dyDescent="0.2">
      <c r="B806" s="157" t="s">
        <v>96</v>
      </c>
      <c r="C806" s="158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3</v>
      </c>
      <c r="H806" s="48">
        <f>VLOOKUP($B800,[5]Complaints!$A$4:$AG$39,5,)</f>
        <v>1</v>
      </c>
      <c r="I806" s="48">
        <f>VLOOKUP($B800,[6]Complaints!$A$4:$AG$39,5,)</f>
        <v>2</v>
      </c>
      <c r="J806" s="48">
        <f>VLOOKUP($B800,[7]Complaints!$A$4:$AG$39,5,)</f>
        <v>2</v>
      </c>
      <c r="K806" s="48">
        <f>VLOOKUP($B800,[8]Complaints!$A$4:$AG$39,5,)</f>
        <v>2</v>
      </c>
      <c r="L806" s="48">
        <f>VLOOKUP($B800,[9]Complaints!$A$4:$AG$39,5,)</f>
        <v>0</v>
      </c>
      <c r="M806" s="48">
        <f>VLOOKUP($B800,[10]Complaints!$A$4:$AG$39,5,)</f>
        <v>2</v>
      </c>
      <c r="N806" s="48">
        <f>VLOOKUP($B800,[11]Complaints!$A$4:$AG$39,5,)</f>
        <v>1</v>
      </c>
      <c r="O806" s="49">
        <f>VLOOKUP($B800,[12]Complaints!$A$4:$AG$39,5,)</f>
        <v>0</v>
      </c>
      <c r="P806" s="55">
        <f t="shared" ref="P806" si="209">SUM(D806:O806)</f>
        <v>14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>
        <f t="shared" si="210"/>
        <v>1.869158878504673E-3</v>
      </c>
      <c r="H807" s="52">
        <f t="shared" si="210"/>
        <v>5.6882821387940839E-4</v>
      </c>
      <c r="I807" s="52">
        <f t="shared" si="210"/>
        <v>9.8619329388560163E-4</v>
      </c>
      <c r="J807" s="52">
        <f t="shared" si="210"/>
        <v>1.0272213662044171E-3</v>
      </c>
      <c r="K807" s="52">
        <f t="shared" si="210"/>
        <v>1.0272213662044171E-3</v>
      </c>
      <c r="L807" s="52">
        <f t="shared" si="210"/>
        <v>0</v>
      </c>
      <c r="M807" s="52">
        <f t="shared" si="210"/>
        <v>1.3966480446927375E-3</v>
      </c>
      <c r="N807" s="52">
        <f t="shared" si="210"/>
        <v>6.8587105624142656E-4</v>
      </c>
      <c r="O807" s="53" t="str">
        <f t="shared" si="210"/>
        <v/>
      </c>
      <c r="P807" s="54">
        <f>IF(P806="","",P806/P801)</f>
        <v>8.6515881844024221E-4</v>
      </c>
      <c r="Q807" s="50"/>
      <c r="R807" s="18"/>
    </row>
    <row r="808" spans="2:18" ht="15.75" customHeight="1" x14ac:dyDescent="0.2">
      <c r="B808" s="161" t="s">
        <v>97</v>
      </c>
      <c r="C808" s="158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1</v>
      </c>
      <c r="H808" s="48">
        <f>VLOOKUP($B800,[5]Complaints!$A$4:$AG$39,6,)</f>
        <v>0</v>
      </c>
      <c r="I808" s="48">
        <f>VLOOKUP($B800,[6]Complaints!$A$4:$AG$39,6,)</f>
        <v>1</v>
      </c>
      <c r="J808" s="48">
        <f>VLOOKUP($B800,[7]Complaints!$A$4:$AG$39,6,)</f>
        <v>2</v>
      </c>
      <c r="K808" s="48">
        <f>VLOOKUP($B800,[8]Complaints!$A$4:$AG$39,6,)</f>
        <v>2</v>
      </c>
      <c r="L808" s="48">
        <f>VLOOKUP($B800,[9]Complaints!$A$4:$AG$39,6,)</f>
        <v>0</v>
      </c>
      <c r="M808" s="48">
        <f>VLOOKUP($B800,[10]Complaints!$A$4:$AG$39,6,)</f>
        <v>2</v>
      </c>
      <c r="N808" s="48">
        <f>VLOOKUP($B800,[11]Complaints!$A$4:$AG$39,6,)</f>
        <v>1</v>
      </c>
      <c r="O808" s="49">
        <f>VLOOKUP($B800,[12]Complaints!$A$4:$AG$39,6,)</f>
        <v>0</v>
      </c>
      <c r="P808" s="55">
        <f t="shared" ref="P808" si="211">SUM(D808:O808)</f>
        <v>10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>
        <f t="shared" si="212"/>
        <v>0.33333333333333331</v>
      </c>
      <c r="H809" s="57" t="str">
        <f t="shared" si="212"/>
        <v/>
      </c>
      <c r="I809" s="57">
        <f>IF(I808=0,"",I808/I806)</f>
        <v>0.5</v>
      </c>
      <c r="J809" s="57">
        <f t="shared" ref="J809:O809" si="213">IF(J808=0,"",J808/J806)</f>
        <v>1</v>
      </c>
      <c r="K809" s="57">
        <f t="shared" si="213"/>
        <v>1</v>
      </c>
      <c r="L809" s="57" t="str">
        <f t="shared" si="213"/>
        <v/>
      </c>
      <c r="M809" s="57">
        <f t="shared" si="213"/>
        <v>1</v>
      </c>
      <c r="N809" s="57">
        <f t="shared" si="213"/>
        <v>1</v>
      </c>
      <c r="O809" s="58" t="str">
        <f t="shared" si="213"/>
        <v/>
      </c>
      <c r="P809" s="59">
        <f>IF(P808=0,"",P808/P806)</f>
        <v>0.7142857142857143</v>
      </c>
      <c r="Q809" s="60"/>
      <c r="R809" s="18"/>
    </row>
    <row r="810" spans="2:18" ht="15.75" customHeight="1" x14ac:dyDescent="0.2">
      <c r="B810" s="14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4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3</v>
      </c>
      <c r="H811" s="48">
        <f>VLOOKUP($B800,[5]Complaints!$A$4:$AJ$39,8,)</f>
        <v>1</v>
      </c>
      <c r="I811" s="48">
        <f>VLOOKUP($B800,[6]Complaints!$A$4:$AJ$39,8,)</f>
        <v>2</v>
      </c>
      <c r="J811" s="48">
        <f>VLOOKUP($B800,[7]Complaints!$A$4:$AJ$39,8,)</f>
        <v>2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2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10</v>
      </c>
      <c r="Q811" s="50">
        <f>IF(P811="","",P811/$P802)</f>
        <v>0.625</v>
      </c>
      <c r="R811" s="18"/>
    </row>
    <row r="812" spans="2:18" ht="15.75" customHeight="1" x14ac:dyDescent="0.2">
      <c r="B812" s="14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4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1</v>
      </c>
      <c r="N813" s="48">
        <f>VLOOKUP($B800,[11]Complaints!$A$4:$AJ$39,10,)</f>
        <v>2</v>
      </c>
      <c r="O813" s="49">
        <f>VLOOKUP($B800,[12]Complaints!$A$4:$AJ$39,10,)</f>
        <v>0</v>
      </c>
      <c r="P813" s="55">
        <f>SUM(D813:O813)</f>
        <v>3</v>
      </c>
      <c r="Q813" s="50">
        <f>IF(P813=0,"",P813/$P802)</f>
        <v>0.1875</v>
      </c>
      <c r="R813" s="18"/>
    </row>
    <row r="814" spans="2:18" ht="15.75" customHeight="1" x14ac:dyDescent="0.2">
      <c r="B814" s="14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0</v>
      </c>
      <c r="P814" s="55">
        <f t="shared" ref="P814:P823" si="215">SUM(D814:O814)</f>
        <v>0</v>
      </c>
      <c r="Q814" s="50" t="str">
        <f>IF(P814=0,"",P814/$P802)</f>
        <v/>
      </c>
      <c r="R814" s="18"/>
    </row>
    <row r="815" spans="2:18" s="19" customFormat="1" ht="15.75" customHeight="1" x14ac:dyDescent="0.2">
      <c r="B815" s="14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0</v>
      </c>
      <c r="P815" s="55">
        <f t="shared" si="215"/>
        <v>0</v>
      </c>
      <c r="Q815" s="50" t="str">
        <f>IF(P815=0,"",P815/$P802)</f>
        <v/>
      </c>
    </row>
    <row r="816" spans="2:18" ht="15.75" customHeight="1" x14ac:dyDescent="0.2">
      <c r="B816" s="14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4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4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6.25E-2</v>
      </c>
      <c r="R818" s="18"/>
    </row>
    <row r="819" spans="1:19" ht="15.75" customHeight="1" x14ac:dyDescent="0.2">
      <c r="B819" s="14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4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4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4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5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1</v>
      </c>
      <c r="H824" s="63">
        <f>VLOOKUP($B800,[5]Complaints!$A$4:$AJ$39,21,)</f>
        <v>0</v>
      </c>
      <c r="I824" s="63">
        <f>VLOOKUP($B800,[6]Complaints!$A$4:$AJ$39,21,)</f>
        <v>1</v>
      </c>
      <c r="J824" s="63">
        <f>VLOOKUP($B800,[7]Complaints!$A$4:$AJ$39,21,)</f>
        <v>2</v>
      </c>
      <c r="K824" s="63">
        <f>VLOOKUP($B800,[8]Complaints!$A$4:$AJ$39,21,)</f>
        <v>2</v>
      </c>
      <c r="L824" s="63">
        <f>VLOOKUP($B800,[9]Complaints!$A$4:$AJ$39,21,)</f>
        <v>0</v>
      </c>
      <c r="M824" s="63">
        <f>VLOOKUP($B800,[10]Complaints!$A$4:$AJ$39,21,)</f>
        <v>2</v>
      </c>
      <c r="N824" s="63">
        <f>VLOOKUP($B800,[11]Complaints!$A$4:$AJ$39,21,)</f>
        <v>1</v>
      </c>
      <c r="O824" s="64">
        <f>VLOOKUP($B800,[12]Complaints!$A$4:$AJ$39,21,)</f>
        <v>0</v>
      </c>
      <c r="P824" s="65">
        <f>SUM(D824:O824)</f>
        <v>9</v>
      </c>
      <c r="Q824" s="46">
        <f>IF(P824=0,"",P824/$P808)</f>
        <v>0.9</v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1</v>
      </c>
      <c r="H826" s="67">
        <f>VLOOKUP($B800,[5]Complaints!$A$4:$AJ$39,23,)</f>
        <v>0</v>
      </c>
      <c r="I826" s="67">
        <f>VLOOKUP($B800,[6]Complaints!$A$4:$AJ$39,23,)</f>
        <v>1</v>
      </c>
      <c r="J826" s="67">
        <f>VLOOKUP($B800,[7]Complaints!$A$4:$AJ$39,23,)</f>
        <v>2</v>
      </c>
      <c r="K826" s="67">
        <f>VLOOKUP($B800,[8]Complaints!$A$4:$AJ$39,23,)</f>
        <v>2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6</v>
      </c>
      <c r="Q826" s="70">
        <f>IF(P826=0,"",P826/$P808)</f>
        <v>0.6</v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1</v>
      </c>
      <c r="N828" s="67">
        <f>VLOOKUP($B800,[11]Complaints!$A$4:$AJ$39,25,)</f>
        <v>1</v>
      </c>
      <c r="O828" s="68">
        <f>VLOOKUP($B800,[12]Complaints!$A$4:$AJ$39,25,)</f>
        <v>0</v>
      </c>
      <c r="P828" s="69">
        <f t="shared" si="216"/>
        <v>2</v>
      </c>
      <c r="Q828" s="70">
        <f>IF(P828=0,"",P828/$P808)</f>
        <v>0.2</v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1</v>
      </c>
      <c r="N829" s="67">
        <f>VLOOKUP($B800,[11]Complaints!$A$4:$AJ$39,26,)</f>
        <v>0</v>
      </c>
      <c r="O829" s="68">
        <f>VLOOKUP($B800,[12]Complaints!$A$4:$AJ$39,26,)</f>
        <v>0</v>
      </c>
      <c r="P829" s="69">
        <f t="shared" si="216"/>
        <v>1</v>
      </c>
      <c r="Q829" s="70">
        <f>IF(P829=0,"",P829/$P808)</f>
        <v>0.1</v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0</v>
      </c>
      <c r="P830" s="69">
        <f t="shared" si="216"/>
        <v>0</v>
      </c>
      <c r="Q830" s="70" t="str">
        <f>IF(P830=0,"",P830/$P808)</f>
        <v/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0.1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0.1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9" t="s">
        <v>40</v>
      </c>
      <c r="C841" s="160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2" t="s">
        <v>104</v>
      </c>
      <c r="R841" s="18"/>
    </row>
    <row r="842" spans="2:19" s="19" customFormat="1" ht="15.75" customHeight="1" thickBot="1" x14ac:dyDescent="0.3">
      <c r="B842" s="151" t="s">
        <v>56</v>
      </c>
      <c r="C842" s="152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3"/>
      <c r="S842" s="18"/>
    </row>
    <row r="843" spans="2:19" ht="12.75" customHeight="1" thickBot="1" x14ac:dyDescent="0.25">
      <c r="B843" s="153" t="s">
        <v>38</v>
      </c>
      <c r="C843" s="154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1357</v>
      </c>
      <c r="H843" s="43">
        <f>VLOOKUP($B842,[5]Complaints!$A$4:$AJ$39,2)</f>
        <v>1673</v>
      </c>
      <c r="I843" s="43">
        <f>VLOOKUP($B842,[6]Complaints!$A$4:$AJ$39,2)</f>
        <v>1953</v>
      </c>
      <c r="J843" s="43">
        <f>VLOOKUP($B842,[7]Complaints!$A$4:$AJ$39,2)</f>
        <v>1784</v>
      </c>
      <c r="K843" s="43">
        <f>VLOOKUP($B842,[8]Complaints!$A$4:$AJ$39,2)</f>
        <v>1784</v>
      </c>
      <c r="L843" s="43">
        <f>VLOOKUP($B842,[9]Complaints!$A$4:$AJ$39,2)</f>
        <v>1367</v>
      </c>
      <c r="M843" s="43">
        <f>VLOOKUP($B842,[10]Complaints!$A$4:$AJ$39,2)</f>
        <v>861</v>
      </c>
      <c r="N843" s="43">
        <f>VLOOKUP($B842,[11]Complaints!$A$4:$AJ$39,2)</f>
        <v>1085</v>
      </c>
      <c r="O843" s="44">
        <f>VLOOKUP($B842,[12]Complaints!$A$4:$AJ$39,2)</f>
        <v>0</v>
      </c>
      <c r="P843" s="45">
        <f>SUM(D843:O843)</f>
        <v>13210</v>
      </c>
      <c r="Q843" s="46"/>
      <c r="R843" s="18"/>
    </row>
    <row r="844" spans="2:19" ht="15.75" customHeight="1" x14ac:dyDescent="0.2">
      <c r="B844" s="155" t="s">
        <v>94</v>
      </c>
      <c r="C844" s="156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2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2</v>
      </c>
      <c r="K844" s="48">
        <f>VLOOKUP($B842,[8]Complaints!$A$4:$AG$39,3,)</f>
        <v>2</v>
      </c>
      <c r="L844" s="48">
        <f>VLOOKUP($B842,[9]Complaints!$A$4:$AG$39,3,)</f>
        <v>0</v>
      </c>
      <c r="M844" s="48">
        <f>VLOOKUP($B842,[10]Complaints!$A$4:$AG$39,3,)</f>
        <v>1</v>
      </c>
      <c r="N844" s="48">
        <f>VLOOKUP($B842,[11]Complaints!$A$4:$AG$39,3,)</f>
        <v>1</v>
      </c>
      <c r="O844" s="49">
        <f>VLOOKUP($B842,[12]Complaints!$A$4:$AG$39,3,)</f>
        <v>0</v>
      </c>
      <c r="P844" s="45">
        <f>SUM(D844:O844)</f>
        <v>8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>
        <f t="shared" si="217"/>
        <v>1.4738393515106854E-3</v>
      </c>
      <c r="H845" s="52">
        <f t="shared" si="217"/>
        <v>0</v>
      </c>
      <c r="I845" s="52">
        <f t="shared" si="217"/>
        <v>0</v>
      </c>
      <c r="J845" s="52">
        <f t="shared" si="217"/>
        <v>1.1210762331838565E-3</v>
      </c>
      <c r="K845" s="52">
        <f t="shared" si="217"/>
        <v>1.1210762331838565E-3</v>
      </c>
      <c r="L845" s="52">
        <f t="shared" si="217"/>
        <v>0</v>
      </c>
      <c r="M845" s="52">
        <f t="shared" si="217"/>
        <v>1.1614401858304297E-3</v>
      </c>
      <c r="N845" s="52">
        <f t="shared" si="217"/>
        <v>9.2165898617511521E-4</v>
      </c>
      <c r="O845" s="53" t="str">
        <f t="shared" si="217"/>
        <v/>
      </c>
      <c r="P845" s="54">
        <f>IF(P844="","",P844/P843)</f>
        <v>6.0560181680545042E-4</v>
      </c>
      <c r="Q845" s="50"/>
      <c r="R845" s="18"/>
    </row>
    <row r="846" spans="2:19" s="21" customFormat="1" ht="15.75" customHeight="1" x14ac:dyDescent="0.2">
      <c r="B846" s="157" t="s">
        <v>95</v>
      </c>
      <c r="C846" s="158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1</v>
      </c>
      <c r="K846" s="48">
        <f>VLOOKUP($B842,[8]Complaints!$A$4:$AG$39,4,)</f>
        <v>1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1</v>
      </c>
      <c r="O846" s="49">
        <f>VLOOKUP($B842,[12]Complaints!$A$4:$AG$39,4,)</f>
        <v>0</v>
      </c>
      <c r="P846" s="55">
        <f t="shared" ref="P846" si="218">SUM(D846:O846)</f>
        <v>3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>
        <f t="shared" si="219"/>
        <v>0</v>
      </c>
      <c r="H847" s="52">
        <f t="shared" si="219"/>
        <v>0</v>
      </c>
      <c r="I847" s="52">
        <f t="shared" si="219"/>
        <v>0</v>
      </c>
      <c r="J847" s="52">
        <f t="shared" si="219"/>
        <v>5.6053811659192824E-4</v>
      </c>
      <c r="K847" s="52">
        <f t="shared" si="219"/>
        <v>5.6053811659192824E-4</v>
      </c>
      <c r="L847" s="52">
        <f t="shared" si="219"/>
        <v>0</v>
      </c>
      <c r="M847" s="52">
        <f t="shared" si="219"/>
        <v>0</v>
      </c>
      <c r="N847" s="52">
        <f t="shared" si="219"/>
        <v>9.2165898617511521E-4</v>
      </c>
      <c r="O847" s="53" t="str">
        <f t="shared" si="219"/>
        <v/>
      </c>
      <c r="P847" s="54">
        <f>IF(P846="","",P846/P843)</f>
        <v>2.2710068130204391E-4</v>
      </c>
      <c r="Q847" s="50"/>
      <c r="R847" s="18"/>
    </row>
    <row r="848" spans="2:19" ht="15.75" customHeight="1" x14ac:dyDescent="0.2">
      <c r="B848" s="157" t="s">
        <v>96</v>
      </c>
      <c r="C848" s="158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2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1</v>
      </c>
      <c r="K848" s="48">
        <f>VLOOKUP($B842,[8]Complaints!$A$4:$AG$39,5,)</f>
        <v>1</v>
      </c>
      <c r="L848" s="48">
        <f>VLOOKUP($B842,[9]Complaints!$A$4:$AG$39,5,)</f>
        <v>0</v>
      </c>
      <c r="M848" s="48">
        <f>VLOOKUP($B842,[10]Complaints!$A$4:$AG$39,5,)</f>
        <v>1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5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>
        <f t="shared" si="221"/>
        <v>1.4738393515106854E-3</v>
      </c>
      <c r="H849" s="52">
        <f t="shared" si="221"/>
        <v>0</v>
      </c>
      <c r="I849" s="52">
        <f t="shared" si="221"/>
        <v>0</v>
      </c>
      <c r="J849" s="52">
        <f t="shared" si="221"/>
        <v>5.6053811659192824E-4</v>
      </c>
      <c r="K849" s="52">
        <f t="shared" si="221"/>
        <v>5.6053811659192824E-4</v>
      </c>
      <c r="L849" s="52">
        <f t="shared" si="221"/>
        <v>0</v>
      </c>
      <c r="M849" s="52">
        <f t="shared" si="221"/>
        <v>1.1614401858304297E-3</v>
      </c>
      <c r="N849" s="52">
        <f t="shared" si="221"/>
        <v>0</v>
      </c>
      <c r="O849" s="53" t="str">
        <f t="shared" si="221"/>
        <v/>
      </c>
      <c r="P849" s="54">
        <f>IF(P848="","",P848/P843)</f>
        <v>3.7850113550340651E-4</v>
      </c>
      <c r="Q849" s="50"/>
      <c r="R849" s="18"/>
    </row>
    <row r="850" spans="2:18" ht="15.75" customHeight="1" x14ac:dyDescent="0.2">
      <c r="B850" s="161" t="s">
        <v>97</v>
      </c>
      <c r="C850" s="158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2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1</v>
      </c>
      <c r="K850" s="48">
        <f>VLOOKUP($B842,[8]Complaints!$A$4:$AG$39,6,)</f>
        <v>1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4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>
        <f t="shared" si="223"/>
        <v>1</v>
      </c>
      <c r="H851" s="57" t="str">
        <f t="shared" si="223"/>
        <v/>
      </c>
      <c r="I851" s="57" t="str">
        <f>IF(I850=0,"",I850/I848)</f>
        <v/>
      </c>
      <c r="J851" s="57">
        <f t="shared" ref="J851:O851" si="224">IF(J850=0,"",J850/J848)</f>
        <v>1</v>
      </c>
      <c r="K851" s="57">
        <f t="shared" si="224"/>
        <v>1</v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>
        <f>IF(P850=0,"",P850/P848)</f>
        <v>0.8</v>
      </c>
      <c r="Q851" s="60"/>
      <c r="R851" s="18"/>
    </row>
    <row r="852" spans="2:18" ht="15.75" customHeight="1" x14ac:dyDescent="0.2">
      <c r="B852" s="14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4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1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1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2</v>
      </c>
      <c r="Q853" s="50">
        <f>IF(P853="","",P853/$P844)</f>
        <v>0.25</v>
      </c>
      <c r="R853" s="18"/>
    </row>
    <row r="854" spans="2:18" ht="15.75" customHeight="1" x14ac:dyDescent="0.2">
      <c r="B854" s="14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4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1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1</v>
      </c>
      <c r="Q855" s="50">
        <f>IF(P855=0,"",P855/$P844)</f>
        <v>0.125</v>
      </c>
      <c r="R855" s="18"/>
    </row>
    <row r="856" spans="2:18" ht="15.75" customHeight="1" x14ac:dyDescent="0.2">
      <c r="B856" s="14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1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1</v>
      </c>
      <c r="O856" s="49">
        <f>VLOOKUP($B842,[12]Complaints!$A$4:$AJ$39,11,)</f>
        <v>0</v>
      </c>
      <c r="P856" s="55">
        <f t="shared" ref="P856:P865" si="226">SUM(D856:O856)</f>
        <v>2</v>
      </c>
      <c r="Q856" s="50">
        <f>IF(P856=0,"",P856/$P844)</f>
        <v>0.25</v>
      </c>
      <c r="R856" s="18"/>
    </row>
    <row r="857" spans="2:18" s="19" customFormat="1" ht="15.75" customHeight="1" x14ac:dyDescent="0.2">
      <c r="B857" s="14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1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1</v>
      </c>
      <c r="Q857" s="50">
        <f>IF(P857=0,"",P857/$P844)</f>
        <v>0.125</v>
      </c>
    </row>
    <row r="858" spans="2:18" ht="15.75" customHeight="1" x14ac:dyDescent="0.2">
      <c r="B858" s="14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4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4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4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4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4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4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5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2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1</v>
      </c>
      <c r="K866" s="63">
        <f>VLOOKUP($B842,[8]Complaints!$A$4:$AJ$39,21,)</f>
        <v>1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4</v>
      </c>
      <c r="Q866" s="46">
        <f>IF(P866=0,"",P866/$P850)</f>
        <v>1</v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2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2</v>
      </c>
      <c r="Q868" s="70">
        <f>IF(P868=0,"",P868/$P850)</f>
        <v>0.5</v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1</v>
      </c>
      <c r="K872" s="72">
        <f>VLOOKUP($B842,[8]Complaints!$A$4:$AJ$39,27,)</f>
        <v>1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2</v>
      </c>
      <c r="Q872" s="70">
        <f>IF(P872=0,"",P872/$P850)</f>
        <v>0.5</v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9" t="s">
        <v>28</v>
      </c>
      <c r="C883" s="160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2" t="s">
        <v>104</v>
      </c>
      <c r="S883" s="18"/>
    </row>
    <row r="884" spans="2:19" ht="15.75" customHeight="1" thickBot="1" x14ac:dyDescent="0.3">
      <c r="B884" s="151" t="s">
        <v>55</v>
      </c>
      <c r="C884" s="152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3"/>
      <c r="R884" s="18"/>
    </row>
    <row r="885" spans="2:19" ht="12.75" customHeight="1" thickBot="1" x14ac:dyDescent="0.25">
      <c r="B885" s="153" t="s">
        <v>38</v>
      </c>
      <c r="C885" s="154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1163</v>
      </c>
      <c r="H885" s="43">
        <f>VLOOKUP($B884,[5]Complaints!$A$4:$AJ$39,2)</f>
        <v>1389</v>
      </c>
      <c r="I885" s="43">
        <f>VLOOKUP($B884,[6]Complaints!$A$4:$AJ$39,2)</f>
        <v>1686</v>
      </c>
      <c r="J885" s="43">
        <f>VLOOKUP($B884,[7]Complaints!$A$4:$AJ$39,2)</f>
        <v>1659</v>
      </c>
      <c r="K885" s="43">
        <f>VLOOKUP($B884,[8]Complaints!$A$4:$AJ$39,2)</f>
        <v>1659</v>
      </c>
      <c r="L885" s="43">
        <f>VLOOKUP($B884,[9]Complaints!$A$4:$AJ$39,2)</f>
        <v>1725</v>
      </c>
      <c r="M885" s="43">
        <f>VLOOKUP($B884,[10]Complaints!$A$4:$AJ$39,2)</f>
        <v>1194</v>
      </c>
      <c r="N885" s="43">
        <f>VLOOKUP($B884,[11]Complaints!$A$4:$AJ$39,2)</f>
        <v>1230</v>
      </c>
      <c r="O885" s="44">
        <f>VLOOKUP($B884,[12]Complaints!$A$4:$AJ$39,2)</f>
        <v>0</v>
      </c>
      <c r="P885" s="45">
        <f>SUM(D885:O885)</f>
        <v>13185</v>
      </c>
      <c r="Q885" s="46"/>
      <c r="R885" s="18"/>
    </row>
    <row r="886" spans="2:19" ht="15.75" customHeight="1" x14ac:dyDescent="0.2">
      <c r="B886" s="155" t="s">
        <v>94</v>
      </c>
      <c r="C886" s="156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1</v>
      </c>
      <c r="H886" s="48">
        <f>VLOOKUP($B884,[5]Complaints!$A$4:$AG$39,3,)</f>
        <v>0</v>
      </c>
      <c r="I886" s="48">
        <f>VLOOKUP($B884,[6]Complaints!$A$4:$AG$39,3,)</f>
        <v>2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1</v>
      </c>
      <c r="M886" s="48">
        <f>VLOOKUP($B884,[10]Complaints!$A$4:$AG$39,3,)</f>
        <v>1</v>
      </c>
      <c r="N886" s="48">
        <f>VLOOKUP($B884,[11]Complaints!$A$4:$AG$39,3,)</f>
        <v>0</v>
      </c>
      <c r="O886" s="49">
        <f>VLOOKUP($B884,[12]Complaints!$A$4:$AG$39,3,)</f>
        <v>0</v>
      </c>
      <c r="P886" s="45">
        <f>SUM(D886:O886)</f>
        <v>5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>
        <f t="shared" si="228"/>
        <v>8.598452278589854E-4</v>
      </c>
      <c r="H887" s="52">
        <f t="shared" si="228"/>
        <v>0</v>
      </c>
      <c r="I887" s="52">
        <f t="shared" si="228"/>
        <v>1.1862396204033216E-3</v>
      </c>
      <c r="J887" s="52">
        <f t="shared" si="228"/>
        <v>0</v>
      </c>
      <c r="K887" s="52">
        <f t="shared" si="228"/>
        <v>0</v>
      </c>
      <c r="L887" s="52">
        <f t="shared" si="228"/>
        <v>5.7971014492753622E-4</v>
      </c>
      <c r="M887" s="52">
        <f t="shared" si="228"/>
        <v>8.375209380234506E-4</v>
      </c>
      <c r="N887" s="52">
        <f t="shared" si="228"/>
        <v>0</v>
      </c>
      <c r="O887" s="53" t="str">
        <f t="shared" si="228"/>
        <v/>
      </c>
      <c r="P887" s="54">
        <f>IF(P886="","",P886/P885)</f>
        <v>3.7921880925293893E-4</v>
      </c>
      <c r="Q887" s="50"/>
      <c r="R887" s="18"/>
    </row>
    <row r="888" spans="2:19" s="21" customFormat="1" ht="15.75" customHeight="1" x14ac:dyDescent="0.2">
      <c r="B888" s="157" t="s">
        <v>95</v>
      </c>
      <c r="C888" s="158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1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1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>
        <f t="shared" si="230"/>
        <v>0</v>
      </c>
      <c r="H889" s="52">
        <f t="shared" si="230"/>
        <v>0</v>
      </c>
      <c r="I889" s="52">
        <f t="shared" si="230"/>
        <v>0</v>
      </c>
      <c r="J889" s="52">
        <f t="shared" si="230"/>
        <v>0</v>
      </c>
      <c r="K889" s="52">
        <f t="shared" si="230"/>
        <v>0</v>
      </c>
      <c r="L889" s="52">
        <f t="shared" si="230"/>
        <v>0</v>
      </c>
      <c r="M889" s="52">
        <f t="shared" si="230"/>
        <v>8.375209380234506E-4</v>
      </c>
      <c r="N889" s="52">
        <f t="shared" si="230"/>
        <v>0</v>
      </c>
      <c r="O889" s="53" t="str">
        <f t="shared" si="230"/>
        <v/>
      </c>
      <c r="P889" s="54">
        <f>IF(P888="","",P888/P885)</f>
        <v>7.5843761850587782E-5</v>
      </c>
      <c r="Q889" s="50"/>
      <c r="R889" s="18"/>
    </row>
    <row r="890" spans="2:19" ht="15.75" customHeight="1" x14ac:dyDescent="0.2">
      <c r="B890" s="157" t="s">
        <v>96</v>
      </c>
      <c r="C890" s="158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1</v>
      </c>
      <c r="H890" s="48">
        <f>VLOOKUP($B884,[5]Complaints!$A$4:$AG$39,5,)</f>
        <v>0</v>
      </c>
      <c r="I890" s="48">
        <f>VLOOKUP($B884,[6]Complaints!$A$4:$AG$39,5,)</f>
        <v>2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1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0</v>
      </c>
      <c r="P890" s="55">
        <f t="shared" ref="P890" si="231">SUM(D890:O890)</f>
        <v>4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>
        <f t="shared" si="232"/>
        <v>8.598452278589854E-4</v>
      </c>
      <c r="H891" s="52">
        <f t="shared" si="232"/>
        <v>0</v>
      </c>
      <c r="I891" s="52">
        <f t="shared" si="232"/>
        <v>1.1862396204033216E-3</v>
      </c>
      <c r="J891" s="52">
        <f t="shared" si="232"/>
        <v>0</v>
      </c>
      <c r="K891" s="52">
        <f t="shared" si="232"/>
        <v>0</v>
      </c>
      <c r="L891" s="52">
        <f t="shared" si="232"/>
        <v>5.7971014492753622E-4</v>
      </c>
      <c r="M891" s="52">
        <f t="shared" si="232"/>
        <v>0</v>
      </c>
      <c r="N891" s="52">
        <f t="shared" si="232"/>
        <v>0</v>
      </c>
      <c r="O891" s="53" t="str">
        <f t="shared" si="232"/>
        <v/>
      </c>
      <c r="P891" s="54">
        <f>IF(P890="","",P890/P885)</f>
        <v>3.0337504740235113E-4</v>
      </c>
      <c r="Q891" s="50"/>
      <c r="R891" s="18"/>
    </row>
    <row r="892" spans="2:19" ht="15.75" customHeight="1" x14ac:dyDescent="0.2">
      <c r="B892" s="161" t="s">
        <v>97</v>
      </c>
      <c r="C892" s="158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1</v>
      </c>
      <c r="H892" s="48">
        <f>VLOOKUP($B884,[5]Complaints!$A$4:$AG$39,6,)</f>
        <v>0</v>
      </c>
      <c r="I892" s="48">
        <f>VLOOKUP($B884,[6]Complaints!$A$4:$AG$39,6,)</f>
        <v>1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2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>
        <f t="shared" si="234"/>
        <v>1</v>
      </c>
      <c r="H893" s="57" t="str">
        <f t="shared" si="234"/>
        <v/>
      </c>
      <c r="I893" s="57">
        <f>IF(I892=0,"",I892/I890)</f>
        <v>0.5</v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>
        <f>IF(P892=0,"",P892/P890)</f>
        <v>0.5</v>
      </c>
      <c r="Q893" s="60"/>
      <c r="R893" s="18"/>
    </row>
    <row r="894" spans="2:19" ht="15.75" customHeight="1" x14ac:dyDescent="0.2">
      <c r="B894" s="14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4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1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1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0</v>
      </c>
      <c r="P895" s="55">
        <f t="shared" ref="P895:P896" si="236">SUM(D895:O895)</f>
        <v>2</v>
      </c>
      <c r="Q895" s="50">
        <f>IF(P895="","",P895/$P886)</f>
        <v>0.4</v>
      </c>
      <c r="R895" s="18"/>
    </row>
    <row r="896" spans="2:19" ht="15.75" customHeight="1" x14ac:dyDescent="0.2">
      <c r="B896" s="14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4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4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1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1</v>
      </c>
      <c r="Q898" s="50">
        <f>IF(P898=0,"",P898/$P886)</f>
        <v>0.2</v>
      </c>
      <c r="R898" s="18"/>
    </row>
    <row r="899" spans="2:18" s="19" customFormat="1" ht="15.75" customHeight="1" x14ac:dyDescent="0.2">
      <c r="B899" s="14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1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1</v>
      </c>
      <c r="Q899" s="50">
        <f>IF(P899=0,"",P899/$P886)</f>
        <v>0.2</v>
      </c>
    </row>
    <row r="900" spans="2:18" ht="15.75" customHeight="1" x14ac:dyDescent="0.2">
      <c r="B900" s="14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4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4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4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4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4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1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1</v>
      </c>
      <c r="Q905" s="50">
        <f>IF(P905=0,"",P905/$P886)</f>
        <v>0.2</v>
      </c>
      <c r="R905" s="18"/>
    </row>
    <row r="906" spans="2:18" ht="15.75" customHeight="1" x14ac:dyDescent="0.2">
      <c r="B906" s="14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5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1</v>
      </c>
      <c r="H908" s="63">
        <f>VLOOKUP($B884,[5]Complaints!$A$4:$AJ$39,21,)</f>
        <v>0</v>
      </c>
      <c r="I908" s="63">
        <f>VLOOKUP($B884,[6]Complaints!$A$4:$AJ$39,21,)</f>
        <v>1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2</v>
      </c>
      <c r="Q908" s="46">
        <f>IF(P908=0,"",P908/$P892)</f>
        <v>1</v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1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1</v>
      </c>
      <c r="Q914" s="70">
        <f>IF(P914=0,"",P914/$P892)</f>
        <v>0.5</v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1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1</v>
      </c>
      <c r="Q915" s="70">
        <f>IF(P915=0,"",P915/$P892)</f>
        <v>0.5</v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9" t="s">
        <v>29</v>
      </c>
      <c r="C925" s="160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2" t="s">
        <v>104</v>
      </c>
      <c r="R925" s="18"/>
    </row>
    <row r="926" spans="1:19" ht="15.75" customHeight="1" thickBot="1" x14ac:dyDescent="0.3">
      <c r="B926" s="151" t="s">
        <v>54</v>
      </c>
      <c r="C926" s="152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3"/>
      <c r="R926" s="18"/>
    </row>
    <row r="927" spans="1:19" ht="12.75" customHeight="1" thickBot="1" x14ac:dyDescent="0.25">
      <c r="B927" s="153" t="s">
        <v>38</v>
      </c>
      <c r="C927" s="154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1906</v>
      </c>
      <c r="H927" s="43">
        <f>VLOOKUP($B926,[5]Complaints!$A$4:$AJ$39,2)</f>
        <v>2139</v>
      </c>
      <c r="I927" s="43">
        <f>VLOOKUP($B926,[6]Complaints!$A$4:$AJ$39,2)</f>
        <v>2241</v>
      </c>
      <c r="J927" s="43">
        <f>VLOOKUP($B926,[7]Complaints!$A$4:$AJ$39,2)</f>
        <v>2292</v>
      </c>
      <c r="K927" s="43">
        <f>VLOOKUP($B926,[8]Complaints!$A$4:$AJ$39,2)</f>
        <v>2292</v>
      </c>
      <c r="L927" s="43">
        <f>VLOOKUP($B926,[9]Complaints!$A$4:$AJ$39,2)</f>
        <v>2255</v>
      </c>
      <c r="M927" s="43">
        <f>VLOOKUP($B926,[10]Complaints!$A$4:$AJ$39,2)</f>
        <v>1474</v>
      </c>
      <c r="N927" s="43">
        <f>VLOOKUP($B926,[11]Complaints!$A$4:$AJ$39,2)</f>
        <v>1510</v>
      </c>
      <c r="O927" s="44">
        <f>VLOOKUP($B926,[12]Complaints!$A$4:$AJ$39,2)</f>
        <v>0</v>
      </c>
      <c r="P927" s="45">
        <f>SUM(D927:O927)</f>
        <v>18812</v>
      </c>
      <c r="Q927" s="46"/>
      <c r="R927" s="18"/>
    </row>
    <row r="928" spans="1:19" ht="15.75" customHeight="1" x14ac:dyDescent="0.2">
      <c r="B928" s="155" t="s">
        <v>94</v>
      </c>
      <c r="C928" s="156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2</v>
      </c>
      <c r="H928" s="48">
        <f>VLOOKUP($B926,[5]Complaints!$A$4:$AG$39,3,)</f>
        <v>2</v>
      </c>
      <c r="I928" s="48">
        <f>VLOOKUP($B926,[6]Complaints!$A$4:$AG$39,3,)</f>
        <v>1</v>
      </c>
      <c r="J928" s="48">
        <f>VLOOKUP($B926,[7]Complaints!$A$4:$AG$39,3,)</f>
        <v>1</v>
      </c>
      <c r="K928" s="48">
        <f>VLOOKUP($B926,[8]Complaints!$A$4:$AG$39,3,)</f>
        <v>1</v>
      </c>
      <c r="L928" s="48">
        <f>VLOOKUP($B926,[9]Complaints!$A$4:$AG$39,3,)</f>
        <v>2</v>
      </c>
      <c r="M928" s="48">
        <f>VLOOKUP($B926,[10]Complaints!$A$4:$AG$39,3,)</f>
        <v>0</v>
      </c>
      <c r="N928" s="48">
        <f>VLOOKUP($B926,[11]Complaints!$A$4:$AG$39,3,)</f>
        <v>3</v>
      </c>
      <c r="O928" s="49">
        <f>VLOOKUP($B926,[12]Complaints!$A$4:$AG$39,3,)</f>
        <v>0</v>
      </c>
      <c r="P928" s="45">
        <f>SUM(D928:O928)</f>
        <v>14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>
        <f t="shared" si="239"/>
        <v>1.0493179433368311E-3</v>
      </c>
      <c r="H929" s="52">
        <f t="shared" si="239"/>
        <v>9.3501636278634881E-4</v>
      </c>
      <c r="I929" s="52">
        <f t="shared" si="239"/>
        <v>4.4622936189201248E-4</v>
      </c>
      <c r="J929" s="52">
        <f t="shared" si="239"/>
        <v>4.3630017452006982E-4</v>
      </c>
      <c r="K929" s="52">
        <f t="shared" si="239"/>
        <v>4.3630017452006982E-4</v>
      </c>
      <c r="L929" s="52">
        <f t="shared" si="239"/>
        <v>8.869179600886918E-4</v>
      </c>
      <c r="M929" s="52">
        <f t="shared" si="239"/>
        <v>0</v>
      </c>
      <c r="N929" s="52">
        <f t="shared" si="239"/>
        <v>1.9867549668874172E-3</v>
      </c>
      <c r="O929" s="53" t="str">
        <f t="shared" si="239"/>
        <v/>
      </c>
      <c r="P929" s="54">
        <f>IF(P928="","",P928/P927)</f>
        <v>7.4420582606846695E-4</v>
      </c>
      <c r="Q929" s="50"/>
      <c r="R929" s="18"/>
    </row>
    <row r="930" spans="2:18" s="21" customFormat="1" ht="15.75" customHeight="1" x14ac:dyDescent="0.2">
      <c r="B930" s="157" t="s">
        <v>95</v>
      </c>
      <c r="C930" s="158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1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1</v>
      </c>
      <c r="O930" s="49">
        <f>VLOOKUP($B926,[12]Complaints!$A$4:$AG$39,4,)</f>
        <v>0</v>
      </c>
      <c r="P930" s="55">
        <f t="shared" ref="P930" si="240">SUM(D930:O930)</f>
        <v>3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>
        <f t="shared" si="241"/>
        <v>0</v>
      </c>
      <c r="H931" s="52">
        <f t="shared" si="241"/>
        <v>4.675081813931744E-4</v>
      </c>
      <c r="I931" s="52">
        <f t="shared" si="241"/>
        <v>0</v>
      </c>
      <c r="J931" s="52">
        <f t="shared" si="241"/>
        <v>0</v>
      </c>
      <c r="K931" s="52">
        <f t="shared" si="241"/>
        <v>0</v>
      </c>
      <c r="L931" s="52">
        <f t="shared" si="241"/>
        <v>0</v>
      </c>
      <c r="M931" s="52">
        <f t="shared" si="241"/>
        <v>0</v>
      </c>
      <c r="N931" s="52">
        <f t="shared" si="241"/>
        <v>6.6225165562913907E-4</v>
      </c>
      <c r="O931" s="53" t="str">
        <f t="shared" si="241"/>
        <v/>
      </c>
      <c r="P931" s="54">
        <f>IF(P930="","",P930/P927)</f>
        <v>1.5947267701467148E-4</v>
      </c>
      <c r="Q931" s="50"/>
      <c r="R931" s="18"/>
    </row>
    <row r="932" spans="2:18" ht="15.75" customHeight="1" x14ac:dyDescent="0.2">
      <c r="B932" s="157" t="s">
        <v>96</v>
      </c>
      <c r="C932" s="158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2</v>
      </c>
      <c r="H932" s="48">
        <f>VLOOKUP($B926,[5]Complaints!$A$4:$AG$39,5,)</f>
        <v>1</v>
      </c>
      <c r="I932" s="48">
        <f>VLOOKUP($B926,[6]Complaints!$A$4:$AG$39,5,)</f>
        <v>1</v>
      </c>
      <c r="J932" s="48">
        <f>VLOOKUP($B926,[7]Complaints!$A$4:$AG$39,5,)</f>
        <v>1</v>
      </c>
      <c r="K932" s="48">
        <f>VLOOKUP($B926,[8]Complaints!$A$4:$AG$39,5,)</f>
        <v>1</v>
      </c>
      <c r="L932" s="48">
        <f>VLOOKUP($B926,[9]Complaints!$A$4:$AG$39,5,)</f>
        <v>2</v>
      </c>
      <c r="M932" s="48">
        <f>VLOOKUP($B926,[10]Complaints!$A$4:$AG$39,5,)</f>
        <v>0</v>
      </c>
      <c r="N932" s="48">
        <f>VLOOKUP($B926,[11]Complaints!$A$4:$AG$39,5,)</f>
        <v>2</v>
      </c>
      <c r="O932" s="49">
        <f>VLOOKUP($B926,[12]Complaints!$A$4:$AG$39,5,)</f>
        <v>0</v>
      </c>
      <c r="P932" s="55">
        <f t="shared" ref="P932" si="242">SUM(D932:O932)</f>
        <v>11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>
        <f t="shared" si="243"/>
        <v>1.0493179433368311E-3</v>
      </c>
      <c r="H933" s="52">
        <f t="shared" si="243"/>
        <v>4.675081813931744E-4</v>
      </c>
      <c r="I933" s="52">
        <f t="shared" si="243"/>
        <v>4.4622936189201248E-4</v>
      </c>
      <c r="J933" s="52">
        <f t="shared" si="243"/>
        <v>4.3630017452006982E-4</v>
      </c>
      <c r="K933" s="52">
        <f t="shared" si="243"/>
        <v>4.3630017452006982E-4</v>
      </c>
      <c r="L933" s="52">
        <f t="shared" si="243"/>
        <v>8.869179600886918E-4</v>
      </c>
      <c r="M933" s="52">
        <f t="shared" si="243"/>
        <v>0</v>
      </c>
      <c r="N933" s="52">
        <f t="shared" si="243"/>
        <v>1.3245033112582781E-3</v>
      </c>
      <c r="O933" s="53" t="str">
        <f t="shared" si="243"/>
        <v/>
      </c>
      <c r="P933" s="54">
        <f>IF(P932="","",P932/P927)</f>
        <v>5.847331490537955E-4</v>
      </c>
      <c r="Q933" s="50"/>
      <c r="R933" s="18"/>
    </row>
    <row r="934" spans="2:18" ht="15.75" customHeight="1" x14ac:dyDescent="0.2">
      <c r="B934" s="161" t="s">
        <v>97</v>
      </c>
      <c r="C934" s="158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1</v>
      </c>
      <c r="H934" s="48">
        <f>VLOOKUP($B926,[5]Complaints!$A$4:$AG$39,6,)</f>
        <v>1</v>
      </c>
      <c r="I934" s="48">
        <f>VLOOKUP($B926,[6]Complaints!$A$4:$AG$39,6,)</f>
        <v>1</v>
      </c>
      <c r="J934" s="48">
        <f>VLOOKUP($B926,[7]Complaints!$A$4:$AG$39,6,)</f>
        <v>1</v>
      </c>
      <c r="K934" s="48">
        <f>VLOOKUP($B926,[8]Complaints!$A$4:$AG$39,6,)</f>
        <v>1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0</v>
      </c>
      <c r="P934" s="55">
        <f t="shared" ref="P934" si="244">SUM(D934:O934)</f>
        <v>6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>
        <f t="shared" si="245"/>
        <v>0.5</v>
      </c>
      <c r="H935" s="57">
        <f t="shared" si="245"/>
        <v>1</v>
      </c>
      <c r="I935" s="57">
        <f>IF(I934=0,"",I934/I932)</f>
        <v>1</v>
      </c>
      <c r="J935" s="57">
        <f t="shared" ref="J935:O935" si="246">IF(J934=0,"",J934/J932)</f>
        <v>1</v>
      </c>
      <c r="K935" s="57">
        <f t="shared" si="246"/>
        <v>1</v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 t="str">
        <f t="shared" si="246"/>
        <v/>
      </c>
      <c r="P935" s="59">
        <f>IF(P934=0,"",P934/P932)</f>
        <v>0.54545454545454541</v>
      </c>
      <c r="Q935" s="60"/>
      <c r="R935" s="18"/>
    </row>
    <row r="936" spans="2:18" ht="15.75" customHeight="1" x14ac:dyDescent="0.2">
      <c r="B936" s="14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4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1</v>
      </c>
      <c r="H937" s="48">
        <f>VLOOKUP($B926,[5]Complaints!$A$4:$AJ$39,8,)</f>
        <v>0</v>
      </c>
      <c r="I937" s="48">
        <f>VLOOKUP($B926,[6]Complaints!$A$4:$AJ$39,8,)</f>
        <v>1</v>
      </c>
      <c r="J937" s="48">
        <f>VLOOKUP($B926,[7]Complaints!$A$4:$AJ$39,8,)</f>
        <v>1</v>
      </c>
      <c r="K937" s="48">
        <f>VLOOKUP($B926,[8]Complaints!$A$4:$AJ$39,8,)</f>
        <v>0</v>
      </c>
      <c r="L937" s="48">
        <f>VLOOKUP($B926,[9]Complaints!$A$4:$AJ$39,8,)</f>
        <v>2</v>
      </c>
      <c r="M937" s="48">
        <f>VLOOKUP($B926,[10]Complaints!$A$4:$AJ$39,8,)</f>
        <v>0</v>
      </c>
      <c r="N937" s="48">
        <f>VLOOKUP($B926,[11]Complaints!$A$4:$AJ$39,8,)</f>
        <v>2</v>
      </c>
      <c r="O937" s="49">
        <f>VLOOKUP($B926,[12]Complaints!$A$4:$AJ$39,8,)</f>
        <v>0</v>
      </c>
      <c r="P937" s="55">
        <f t="shared" ref="P937:P938" si="247">SUM(D937:O937)</f>
        <v>8</v>
      </c>
      <c r="Q937" s="50">
        <f>IF(P937="","",P937/$P928)</f>
        <v>0.5714285714285714</v>
      </c>
      <c r="R937" s="18"/>
    </row>
    <row r="938" spans="2:18" ht="15.75" customHeight="1" x14ac:dyDescent="0.2">
      <c r="B938" s="14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4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1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1</v>
      </c>
      <c r="O939" s="49">
        <f>VLOOKUP($B926,[12]Complaints!$A$4:$AJ$39,10,)</f>
        <v>0</v>
      </c>
      <c r="P939" s="55">
        <f>SUM(D939:O939)</f>
        <v>3</v>
      </c>
      <c r="Q939" s="50">
        <f>IF(P939=0,"",P939/$P928)</f>
        <v>0.21428571428571427</v>
      </c>
      <c r="R939" s="18"/>
    </row>
    <row r="940" spans="2:18" ht="15.75" customHeight="1" x14ac:dyDescent="0.2">
      <c r="B940" s="14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1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1</v>
      </c>
      <c r="Q940" s="50">
        <f>IF(P940=0,"",P940/$P928)</f>
        <v>7.1428571428571425E-2</v>
      </c>
      <c r="R940" s="18"/>
    </row>
    <row r="941" spans="2:18" s="19" customFormat="1" ht="15.75" customHeight="1" x14ac:dyDescent="0.2">
      <c r="B941" s="14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4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4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4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1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1</v>
      </c>
      <c r="Q944" s="50">
        <f>IF(P944=0,"",P944/$P928)</f>
        <v>7.1428571428571425E-2</v>
      </c>
      <c r="R944" s="18"/>
    </row>
    <row r="945" spans="1:19" ht="15.75" customHeight="1" x14ac:dyDescent="0.2">
      <c r="B945" s="14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4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4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4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5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1</v>
      </c>
      <c r="H950" s="63">
        <f>VLOOKUP($B926,[5]Complaints!$A$4:$AJ$39,21,)</f>
        <v>0</v>
      </c>
      <c r="I950" s="63">
        <f>VLOOKUP($B926,[6]Complaints!$A$4:$AJ$39,21,)</f>
        <v>1</v>
      </c>
      <c r="J950" s="63">
        <f>VLOOKUP($B926,[7]Complaints!$A$4:$AJ$39,21,)</f>
        <v>1</v>
      </c>
      <c r="K950" s="63">
        <f>VLOOKUP($B926,[8]Complaints!$A$4:$AJ$39,21,)</f>
        <v>1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0</v>
      </c>
      <c r="P950" s="65">
        <f>SUM(D950:O950)</f>
        <v>5</v>
      </c>
      <c r="Q950" s="46">
        <f>IF(P950=0,"",P950/$P934)</f>
        <v>0.83333333333333337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1</v>
      </c>
      <c r="H952" s="67">
        <f>VLOOKUP($B926,[5]Complaints!$A$4:$AJ$39,23,)</f>
        <v>0</v>
      </c>
      <c r="I952" s="67">
        <f>VLOOKUP($B926,[6]Complaints!$A$4:$AJ$39,23,)</f>
        <v>1</v>
      </c>
      <c r="J952" s="67">
        <f>VLOOKUP($B926,[7]Complaints!$A$4:$AJ$39,23,)</f>
        <v>1</v>
      </c>
      <c r="K952" s="67">
        <f>VLOOKUP($B926,[8]Complaints!$A$4:$AJ$39,23,)</f>
        <v>1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0</v>
      </c>
      <c r="P952" s="69">
        <f t="shared" si="249"/>
        <v>5</v>
      </c>
      <c r="Q952" s="70">
        <f>IF(P952=0,"",P952/$P934)</f>
        <v>0.83333333333333337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1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1</v>
      </c>
      <c r="Q960" s="50">
        <f>IF(P960=0,"",P960/$P934)</f>
        <v>0.16666666666666666</v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1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1</v>
      </c>
      <c r="Q961" s="70">
        <f>IF(P961=0,"",P961/$P934)</f>
        <v>0.16666666666666666</v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9" t="s">
        <v>30</v>
      </c>
      <c r="C967" s="160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2" t="s">
        <v>104</v>
      </c>
      <c r="R967" s="18"/>
    </row>
    <row r="968" spans="2:18" ht="15.75" customHeight="1" thickBot="1" x14ac:dyDescent="0.3">
      <c r="B968" s="151" t="s">
        <v>53</v>
      </c>
      <c r="C968" s="152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3"/>
      <c r="R968" s="18"/>
    </row>
    <row r="969" spans="2:18" ht="12.75" customHeight="1" thickBot="1" x14ac:dyDescent="0.25">
      <c r="B969" s="153" t="s">
        <v>38</v>
      </c>
      <c r="C969" s="154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1044</v>
      </c>
      <c r="H969" s="43">
        <f>VLOOKUP($B968,[5]Complaints!$A$4:$AJ$39,2)</f>
        <v>1269</v>
      </c>
      <c r="I969" s="43">
        <f>VLOOKUP($B968,[6]Complaints!$A$4:$AJ$39,2)</f>
        <v>1377</v>
      </c>
      <c r="J969" s="43">
        <f>VLOOKUP($B968,[7]Complaints!$A$4:$AJ$39,2)</f>
        <v>1357</v>
      </c>
      <c r="K969" s="43">
        <f>VLOOKUP($B968,[8]Complaints!$A$4:$AJ$39,2)</f>
        <v>1357</v>
      </c>
      <c r="L969" s="43">
        <f>VLOOKUP($B968,[9]Complaints!$A$4:$AJ$39,2)</f>
        <v>1257</v>
      </c>
      <c r="M969" s="43">
        <f>VLOOKUP($B968,[10]Complaints!$A$4:$AJ$39,2)</f>
        <v>899</v>
      </c>
      <c r="N969" s="43">
        <f>VLOOKUP($B968,[11]Complaints!$A$4:$AJ$39,2)</f>
        <v>891</v>
      </c>
      <c r="O969" s="44">
        <f>VLOOKUP($B968,[12]Complaints!$A$4:$AJ$39,2)</f>
        <v>0</v>
      </c>
      <c r="P969" s="45">
        <f>SUM(D969:O969)</f>
        <v>10789</v>
      </c>
      <c r="Q969" s="46"/>
      <c r="R969" s="18"/>
    </row>
    <row r="970" spans="2:18" ht="15.75" customHeight="1" x14ac:dyDescent="0.2">
      <c r="B970" s="155" t="s">
        <v>94</v>
      </c>
      <c r="C970" s="156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2</v>
      </c>
      <c r="H970" s="48">
        <f>VLOOKUP($B968,[5]Complaints!$A$4:$AG$39,3,)</f>
        <v>1</v>
      </c>
      <c r="I970" s="48">
        <f>VLOOKUP($B968,[6]Complaints!$A$4:$AG$39,3,)</f>
        <v>1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1</v>
      </c>
      <c r="N970" s="48">
        <f>VLOOKUP($B968,[11]Complaints!$A$4:$AG$39,3,)</f>
        <v>1</v>
      </c>
      <c r="O970" s="49">
        <f>VLOOKUP($B968,[12]Complaints!$A$4:$AG$39,3,)</f>
        <v>0</v>
      </c>
      <c r="P970" s="45">
        <f>SUM(D970:O970)</f>
        <v>6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>
        <f t="shared" si="250"/>
        <v>1.9157088122605363E-3</v>
      </c>
      <c r="H971" s="52">
        <f t="shared" si="250"/>
        <v>7.8802206461780935E-4</v>
      </c>
      <c r="I971" s="52">
        <f t="shared" si="250"/>
        <v>7.2621641249092229E-4</v>
      </c>
      <c r="J971" s="52">
        <f t="shared" si="250"/>
        <v>0</v>
      </c>
      <c r="K971" s="52">
        <f t="shared" si="250"/>
        <v>0</v>
      </c>
      <c r="L971" s="52">
        <f t="shared" si="250"/>
        <v>0</v>
      </c>
      <c r="M971" s="52">
        <f t="shared" si="250"/>
        <v>1.1123470522803114E-3</v>
      </c>
      <c r="N971" s="52">
        <f t="shared" si="250"/>
        <v>1.1223344556677891E-3</v>
      </c>
      <c r="O971" s="53" t="str">
        <f t="shared" si="250"/>
        <v/>
      </c>
      <c r="P971" s="54">
        <f>IF(P970="","",P970/P969)</f>
        <v>5.5612197608675507E-4</v>
      </c>
      <c r="Q971" s="50"/>
      <c r="R971" s="18"/>
    </row>
    <row r="972" spans="2:18" s="21" customFormat="1" ht="15.75" customHeight="1" x14ac:dyDescent="0.2">
      <c r="B972" s="157" t="s">
        <v>95</v>
      </c>
      <c r="C972" s="158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1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1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>
        <f t="shared" si="252"/>
        <v>0</v>
      </c>
      <c r="H973" s="52">
        <f t="shared" si="252"/>
        <v>0</v>
      </c>
      <c r="I973" s="52">
        <f t="shared" si="252"/>
        <v>0</v>
      </c>
      <c r="J973" s="52">
        <f t="shared" si="252"/>
        <v>0</v>
      </c>
      <c r="K973" s="52">
        <f t="shared" si="252"/>
        <v>0</v>
      </c>
      <c r="L973" s="52">
        <f t="shared" si="252"/>
        <v>0</v>
      </c>
      <c r="M973" s="52">
        <f t="shared" si="252"/>
        <v>1.1123470522803114E-3</v>
      </c>
      <c r="N973" s="52">
        <f t="shared" si="252"/>
        <v>0</v>
      </c>
      <c r="O973" s="53" t="str">
        <f t="shared" si="252"/>
        <v/>
      </c>
      <c r="P973" s="54">
        <f>IF(P972="","",P972/P969)</f>
        <v>9.2686996014459169E-5</v>
      </c>
      <c r="Q973" s="50"/>
      <c r="R973" s="18"/>
    </row>
    <row r="974" spans="2:18" ht="15.75" customHeight="1" x14ac:dyDescent="0.2">
      <c r="B974" s="157" t="s">
        <v>96</v>
      </c>
      <c r="C974" s="158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2</v>
      </c>
      <c r="H974" s="48">
        <f>VLOOKUP($B968,[5]Complaints!$A$4:$AG$39,5,)</f>
        <v>1</v>
      </c>
      <c r="I974" s="48">
        <f>VLOOKUP($B968,[6]Complaints!$A$4:$AG$39,5,)</f>
        <v>1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1</v>
      </c>
      <c r="O974" s="49">
        <f>VLOOKUP($B968,[12]Complaints!$A$4:$AG$39,5,)</f>
        <v>0</v>
      </c>
      <c r="P974" s="55">
        <f t="shared" ref="P974" si="253">SUM(D974:O974)</f>
        <v>5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>
        <f t="shared" si="254"/>
        <v>1.9157088122605363E-3</v>
      </c>
      <c r="H975" s="52">
        <f t="shared" si="254"/>
        <v>7.8802206461780935E-4</v>
      </c>
      <c r="I975" s="52">
        <f t="shared" si="254"/>
        <v>7.2621641249092229E-4</v>
      </c>
      <c r="J975" s="52">
        <f t="shared" si="254"/>
        <v>0</v>
      </c>
      <c r="K975" s="52">
        <f t="shared" si="254"/>
        <v>0</v>
      </c>
      <c r="L975" s="52">
        <f t="shared" si="254"/>
        <v>0</v>
      </c>
      <c r="M975" s="52">
        <f t="shared" si="254"/>
        <v>0</v>
      </c>
      <c r="N975" s="52">
        <f t="shared" si="254"/>
        <v>1.1223344556677891E-3</v>
      </c>
      <c r="O975" s="53" t="str">
        <f t="shared" si="254"/>
        <v/>
      </c>
      <c r="P975" s="54">
        <f>IF(P974="","",P974/P969)</f>
        <v>4.6343498007229587E-4</v>
      </c>
      <c r="Q975" s="50"/>
      <c r="R975" s="18"/>
    </row>
    <row r="976" spans="2:18" ht="15.75" customHeight="1" x14ac:dyDescent="0.2">
      <c r="B976" s="161" t="s">
        <v>97</v>
      </c>
      <c r="C976" s="158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1</v>
      </c>
      <c r="H976" s="48">
        <f>VLOOKUP($B968,[5]Complaints!$A$4:$AG$39,6,)</f>
        <v>1</v>
      </c>
      <c r="I976" s="48">
        <f>VLOOKUP($B968,[6]Complaints!$A$4:$AG$39,6,)</f>
        <v>1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1</v>
      </c>
      <c r="O976" s="49">
        <f>VLOOKUP($B968,[12]Complaints!$A$4:$AG$39,6,)</f>
        <v>0</v>
      </c>
      <c r="P976" s="55">
        <f t="shared" ref="P976" si="255">SUM(D976:O976)</f>
        <v>4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>
        <f t="shared" si="256"/>
        <v>0.5</v>
      </c>
      <c r="H977" s="57">
        <f t="shared" si="256"/>
        <v>1</v>
      </c>
      <c r="I977" s="57">
        <f>IF(I976=0,"",I976/I974)</f>
        <v>1</v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>
        <f t="shared" si="257"/>
        <v>1</v>
      </c>
      <c r="O977" s="58" t="str">
        <f t="shared" si="257"/>
        <v/>
      </c>
      <c r="P977" s="59">
        <f>IF(P976=0,"",P976/P974)</f>
        <v>0.8</v>
      </c>
      <c r="Q977" s="60"/>
      <c r="R977" s="18"/>
    </row>
    <row r="978" spans="2:18" ht="15.75" customHeight="1" x14ac:dyDescent="0.2">
      <c r="B978" s="14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4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1</v>
      </c>
      <c r="H979" s="48">
        <f>VLOOKUP($B968,[5]Complaints!$A$4:$AJ$39,8,)</f>
        <v>1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2</v>
      </c>
      <c r="Q979" s="50">
        <f>IF(P979="","",P979/$P970)</f>
        <v>0.33333333333333331</v>
      </c>
      <c r="R979" s="18"/>
    </row>
    <row r="980" spans="2:18" ht="15.75" customHeight="1" x14ac:dyDescent="0.2">
      <c r="B980" s="14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4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1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1</v>
      </c>
      <c r="Q981" s="50">
        <f>IF(P981=0,"",P981/$P970)</f>
        <v>0.16666666666666666</v>
      </c>
      <c r="R981" s="18"/>
    </row>
    <row r="982" spans="2:18" ht="15.75" customHeight="1" x14ac:dyDescent="0.2">
      <c r="B982" s="14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1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0</v>
      </c>
      <c r="P982" s="55">
        <f t="shared" ref="P982:P991" si="259">SUM(D982:O982)</f>
        <v>1</v>
      </c>
      <c r="Q982" s="50">
        <f>IF(P982=0,"",P982/$P970)</f>
        <v>0.16666666666666666</v>
      </c>
      <c r="R982" s="18"/>
    </row>
    <row r="983" spans="2:18" s="19" customFormat="1" ht="15.75" customHeight="1" x14ac:dyDescent="0.2">
      <c r="B983" s="14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1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1</v>
      </c>
      <c r="O983" s="49">
        <f>VLOOKUP($B968,[12]Complaints!$A$4:$AJ$39,12,)</f>
        <v>0</v>
      </c>
      <c r="P983" s="55">
        <f t="shared" si="259"/>
        <v>2</v>
      </c>
      <c r="Q983" s="50">
        <f>IF(P983=0,"",P983/$P970)</f>
        <v>0.33333333333333331</v>
      </c>
    </row>
    <row r="984" spans="2:18" ht="15.75" customHeight="1" x14ac:dyDescent="0.2">
      <c r="B984" s="14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4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4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4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4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4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4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5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1</v>
      </c>
      <c r="H992" s="63">
        <f>VLOOKUP($B968,[5]Complaints!$A$4:$AJ$39,21,)</f>
        <v>1</v>
      </c>
      <c r="I992" s="63">
        <f>VLOOKUP($B968,[6]Complaints!$A$4:$AJ$39,21,)</f>
        <v>1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1</v>
      </c>
      <c r="N992" s="63">
        <f>VLOOKUP($B968,[11]Complaints!$A$4:$AJ$39,21,)</f>
        <v>1</v>
      </c>
      <c r="O992" s="64">
        <f>VLOOKUP($B968,[12]Complaints!$A$4:$AJ$39,21,)</f>
        <v>0</v>
      </c>
      <c r="P992" s="65">
        <f>SUM(D992:O992)</f>
        <v>5</v>
      </c>
      <c r="Q992" s="46">
        <f>IF(P992=0,"",P992/$P976)</f>
        <v>1.25</v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1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1</v>
      </c>
      <c r="Q994" s="70">
        <f>IF(P994=0,"",P994/$P976)</f>
        <v>0.25</v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1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1</v>
      </c>
      <c r="Q996" s="70">
        <f>IF(P996=0,"",P996/$P976)</f>
        <v>0.25</v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1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0</v>
      </c>
      <c r="P998" s="69">
        <f t="shared" si="260"/>
        <v>1</v>
      </c>
      <c r="Q998" s="70">
        <f>IF(P998=0,"",P998/$P976)</f>
        <v>0.25</v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1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1</v>
      </c>
      <c r="O999" s="73">
        <f>VLOOKUP($B968,[12]Complaints!$A$4:$AJ$39,28,)</f>
        <v>0</v>
      </c>
      <c r="P999" s="69">
        <f t="shared" si="260"/>
        <v>2</v>
      </c>
      <c r="Q999" s="70">
        <f>IF(P999=0,"",P999/$P976)</f>
        <v>0.5</v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9" t="s">
        <v>31</v>
      </c>
      <c r="C1009" s="160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2" t="s">
        <v>104</v>
      </c>
      <c r="R1009" s="18"/>
    </row>
    <row r="1010" spans="2:18" ht="15.75" customHeight="1" thickBot="1" x14ac:dyDescent="0.3">
      <c r="B1010" s="151" t="s">
        <v>84</v>
      </c>
      <c r="C1010" s="152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3"/>
      <c r="R1010" s="18"/>
    </row>
    <row r="1011" spans="2:18" ht="12.75" customHeight="1" thickBot="1" x14ac:dyDescent="0.25">
      <c r="B1011" s="153" t="s">
        <v>38</v>
      </c>
      <c r="C1011" s="154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1393</v>
      </c>
      <c r="H1011" s="43">
        <f>VLOOKUP($B1010,[5]Complaints!$A$4:$AJ$39,2)</f>
        <v>1746</v>
      </c>
      <c r="I1011" s="43">
        <f>VLOOKUP($B1010,[6]Complaints!$A$4:$AJ$39,2)</f>
        <v>2018</v>
      </c>
      <c r="J1011" s="43">
        <f>VLOOKUP($B1010,[7]Complaints!$A$4:$AJ$39,2)</f>
        <v>2179</v>
      </c>
      <c r="K1011" s="43">
        <f>VLOOKUP($B1010,[8]Complaints!$A$4:$AJ$39,2)</f>
        <v>2179</v>
      </c>
      <c r="L1011" s="43">
        <f>VLOOKUP($B1010,[9]Complaints!$A$4:$AJ$39,2)</f>
        <v>1786</v>
      </c>
      <c r="M1011" s="43">
        <f>VLOOKUP($B1010,[10]Complaints!$A$4:$AJ$39,2)</f>
        <v>1296</v>
      </c>
      <c r="N1011" s="43">
        <f>VLOOKUP($B1010,[11]Complaints!$A$4:$AJ$39,2)</f>
        <v>1367</v>
      </c>
      <c r="O1011" s="44">
        <f>VLOOKUP($B1010,[12]Complaints!$A$4:$AJ$39,2)</f>
        <v>0</v>
      </c>
      <c r="P1011" s="45">
        <f>SUM(D1011:O1011)</f>
        <v>16328</v>
      </c>
      <c r="Q1011" s="46"/>
      <c r="R1011" s="18"/>
    </row>
    <row r="1012" spans="2:18" ht="15.75" customHeight="1" x14ac:dyDescent="0.2">
      <c r="B1012" s="155" t="s">
        <v>94</v>
      </c>
      <c r="C1012" s="156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1</v>
      </c>
      <c r="H1012" s="48">
        <f>VLOOKUP($B1010,[5]Complaints!$A$4:$AG$39,3,)</f>
        <v>1</v>
      </c>
      <c r="I1012" s="48">
        <f>VLOOKUP($B1010,[6]Complaints!$A$4:$AG$39,3,)</f>
        <v>1</v>
      </c>
      <c r="J1012" s="48">
        <f>VLOOKUP($B1010,[7]Complaints!$A$4:$AG$39,3,)</f>
        <v>1</v>
      </c>
      <c r="K1012" s="48">
        <f>VLOOKUP($B1010,[8]Complaints!$A$4:$AG$39,3,)</f>
        <v>1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1</v>
      </c>
      <c r="O1012" s="49">
        <f>VLOOKUP($B1010,[12]Complaints!$A$4:$AG$39,3,)</f>
        <v>0</v>
      </c>
      <c r="P1012" s="45">
        <f>SUM(D1012:O1012)</f>
        <v>8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>
        <f t="shared" si="261"/>
        <v>7.1787508973438624E-4</v>
      </c>
      <c r="H1013" s="52">
        <f t="shared" si="261"/>
        <v>5.7273768613974802E-4</v>
      </c>
      <c r="I1013" s="52">
        <f t="shared" si="261"/>
        <v>4.9554013875123884E-4</v>
      </c>
      <c r="J1013" s="52">
        <f t="shared" si="261"/>
        <v>4.5892611289582378E-4</v>
      </c>
      <c r="K1013" s="52">
        <f t="shared" si="261"/>
        <v>4.5892611289582378E-4</v>
      </c>
      <c r="L1013" s="52">
        <f t="shared" si="261"/>
        <v>0</v>
      </c>
      <c r="M1013" s="52">
        <f t="shared" si="261"/>
        <v>0</v>
      </c>
      <c r="N1013" s="52">
        <f t="shared" si="261"/>
        <v>7.3152889539136799E-4</v>
      </c>
      <c r="O1013" s="53" t="str">
        <f t="shared" si="261"/>
        <v/>
      </c>
      <c r="P1013" s="54">
        <f>IF(P1012="","",P1012/P1011)</f>
        <v>4.8995590396864281E-4</v>
      </c>
      <c r="Q1013" s="50"/>
      <c r="R1013" s="18"/>
    </row>
    <row r="1014" spans="2:18" s="21" customFormat="1" ht="15.75" customHeight="1" x14ac:dyDescent="0.2">
      <c r="B1014" s="157" t="s">
        <v>95</v>
      </c>
      <c r="C1014" s="158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>
        <f t="shared" si="263"/>
        <v>0</v>
      </c>
      <c r="H1015" s="52">
        <f t="shared" si="263"/>
        <v>0</v>
      </c>
      <c r="I1015" s="52">
        <f t="shared" si="263"/>
        <v>0</v>
      </c>
      <c r="J1015" s="52">
        <f t="shared" si="263"/>
        <v>0</v>
      </c>
      <c r="K1015" s="52">
        <f t="shared" si="263"/>
        <v>0</v>
      </c>
      <c r="L1015" s="52">
        <f t="shared" si="263"/>
        <v>0</v>
      </c>
      <c r="M1015" s="52">
        <f t="shared" si="263"/>
        <v>0</v>
      </c>
      <c r="N1015" s="52">
        <f t="shared" si="263"/>
        <v>0</v>
      </c>
      <c r="O1015" s="53" t="str">
        <f t="shared" si="263"/>
        <v/>
      </c>
      <c r="P1015" s="54">
        <f>IF(P1014="","",P1014/P1011)</f>
        <v>6.1244487996080352E-5</v>
      </c>
      <c r="Q1015" s="50"/>
      <c r="R1015" s="18"/>
    </row>
    <row r="1016" spans="2:18" ht="15.75" customHeight="1" x14ac:dyDescent="0.2">
      <c r="B1016" s="157" t="s">
        <v>96</v>
      </c>
      <c r="C1016" s="158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1</v>
      </c>
      <c r="H1016" s="48">
        <f>VLOOKUP($B1010,[5]Complaints!$A$4:$AG$39,5,)</f>
        <v>1</v>
      </c>
      <c r="I1016" s="48">
        <f>VLOOKUP($B1010,[6]Complaints!$A$4:$AG$39,5,)</f>
        <v>1</v>
      </c>
      <c r="J1016" s="48">
        <f>VLOOKUP($B1010,[7]Complaints!$A$4:$AG$39,5,)</f>
        <v>1</v>
      </c>
      <c r="K1016" s="48">
        <f>VLOOKUP($B1010,[8]Complaints!$A$4:$AG$39,5,)</f>
        <v>1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1</v>
      </c>
      <c r="O1016" s="49">
        <f>VLOOKUP($B1010,[12]Complaints!$A$4:$AG$39,5,)</f>
        <v>0</v>
      </c>
      <c r="P1016" s="55">
        <f t="shared" ref="P1016" si="264">SUM(D1016:O1016)</f>
        <v>7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>
        <f t="shared" si="265"/>
        <v>7.1787508973438624E-4</v>
      </c>
      <c r="H1017" s="52">
        <f t="shared" si="265"/>
        <v>5.7273768613974802E-4</v>
      </c>
      <c r="I1017" s="52">
        <f t="shared" si="265"/>
        <v>4.9554013875123884E-4</v>
      </c>
      <c r="J1017" s="52">
        <f t="shared" si="265"/>
        <v>4.5892611289582378E-4</v>
      </c>
      <c r="K1017" s="52">
        <f t="shared" si="265"/>
        <v>4.5892611289582378E-4</v>
      </c>
      <c r="L1017" s="52">
        <f t="shared" si="265"/>
        <v>0</v>
      </c>
      <c r="M1017" s="52">
        <f t="shared" si="265"/>
        <v>0</v>
      </c>
      <c r="N1017" s="52">
        <f t="shared" si="265"/>
        <v>7.3152889539136799E-4</v>
      </c>
      <c r="O1017" s="53" t="str">
        <f t="shared" si="265"/>
        <v/>
      </c>
      <c r="P1017" s="54">
        <f>IF(P1016="","",P1016/P1011)</f>
        <v>4.2871141597256246E-4</v>
      </c>
      <c r="Q1017" s="50"/>
      <c r="R1017" s="18"/>
    </row>
    <row r="1018" spans="2:18" ht="15.75" customHeight="1" x14ac:dyDescent="0.2">
      <c r="B1018" s="161" t="s">
        <v>97</v>
      </c>
      <c r="C1018" s="158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1</v>
      </c>
      <c r="H1018" s="48">
        <f>VLOOKUP($B1010,[5]Complaints!$A$4:$AG$39,6,)</f>
        <v>1</v>
      </c>
      <c r="I1018" s="48">
        <f>VLOOKUP($B1010,[6]Complaints!$A$4:$AG$39,6,)</f>
        <v>1</v>
      </c>
      <c r="J1018" s="48">
        <f>VLOOKUP($B1010,[7]Complaints!$A$4:$AG$39,6,)</f>
        <v>1</v>
      </c>
      <c r="K1018" s="48">
        <f>VLOOKUP($B1010,[8]Complaints!$A$4:$AG$39,6,)</f>
        <v>1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1</v>
      </c>
      <c r="O1018" s="49">
        <f>VLOOKUP($B1010,[12]Complaints!$A$4:$AG$39,6,)</f>
        <v>0</v>
      </c>
      <c r="P1018" s="55">
        <f t="shared" ref="P1018" si="266">SUM(D1018:O1018)</f>
        <v>6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>
        <f t="shared" si="267"/>
        <v>1</v>
      </c>
      <c r="H1019" s="57">
        <f t="shared" si="267"/>
        <v>1</v>
      </c>
      <c r="I1019" s="57">
        <f>IF(I1018=0,"",I1018/I1016)</f>
        <v>1</v>
      </c>
      <c r="J1019" s="57">
        <f t="shared" ref="J1019:O1019" si="268">IF(J1018=0,"",J1018/J1016)</f>
        <v>1</v>
      </c>
      <c r="K1019" s="57">
        <f t="shared" si="268"/>
        <v>1</v>
      </c>
      <c r="L1019" s="57" t="str">
        <f t="shared" si="268"/>
        <v/>
      </c>
      <c r="M1019" s="57" t="str">
        <f t="shared" si="268"/>
        <v/>
      </c>
      <c r="N1019" s="57">
        <f t="shared" si="268"/>
        <v>1</v>
      </c>
      <c r="O1019" s="58" t="str">
        <f t="shared" si="268"/>
        <v/>
      </c>
      <c r="P1019" s="59">
        <f>IF(P1018=0,"",P1018/P1016)</f>
        <v>0.8571428571428571</v>
      </c>
      <c r="Q1019" s="60"/>
      <c r="R1019" s="18"/>
    </row>
    <row r="1020" spans="2:18" ht="15.75" customHeight="1" x14ac:dyDescent="0.2">
      <c r="B1020" s="14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4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1</v>
      </c>
      <c r="J1021" s="48">
        <f>VLOOKUP($B1010,[7]Complaints!$A$4:$AJ$39,8,)</f>
        <v>0</v>
      </c>
      <c r="K1021" s="48">
        <f>VLOOKUP($B1010,[8]Complaints!$A$4:$AJ$39,8,)</f>
        <v>2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1</v>
      </c>
      <c r="O1021" s="49">
        <f>VLOOKUP($B1010,[12]Complaints!$A$4:$AJ$39,8,)</f>
        <v>0</v>
      </c>
      <c r="P1021" s="55">
        <f t="shared" ref="P1021:P1022" si="269">SUM(D1021:O1021)</f>
        <v>5</v>
      </c>
      <c r="Q1021" s="50">
        <f>IF(P1021="","",P1021/$P1012)</f>
        <v>0.625</v>
      </c>
      <c r="R1021" s="18"/>
    </row>
    <row r="1022" spans="2:18" ht="15.75" customHeight="1" x14ac:dyDescent="0.2">
      <c r="B1022" s="14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4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2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3</v>
      </c>
      <c r="Q1023" s="50">
        <f>IF(P1023=0,"",P1023/$P1012)</f>
        <v>0.375</v>
      </c>
      <c r="R1023" s="18"/>
    </row>
    <row r="1024" spans="2:18" ht="15.75" customHeight="1" x14ac:dyDescent="0.2">
      <c r="B1024" s="14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1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1</v>
      </c>
      <c r="Q1024" s="50">
        <f>IF(P1024=0,"",P1024/$P1012)</f>
        <v>0.125</v>
      </c>
      <c r="R1024" s="18"/>
    </row>
    <row r="1025" spans="1:19" s="19" customFormat="1" ht="15.75" customHeight="1" x14ac:dyDescent="0.2">
      <c r="B1025" s="14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1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1</v>
      </c>
      <c r="Q1025" s="50">
        <f>IF(P1025=0,"",P1025/$P1012)</f>
        <v>0.125</v>
      </c>
    </row>
    <row r="1026" spans="1:19" ht="15.75" customHeight="1" x14ac:dyDescent="0.2">
      <c r="B1026" s="14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4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4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1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1</v>
      </c>
      <c r="Q1028" s="50">
        <f>IF(P1028=0,"",P1028/$P1012)</f>
        <v>0.125</v>
      </c>
      <c r="R1028" s="18"/>
    </row>
    <row r="1029" spans="1:19" ht="15.75" customHeight="1" x14ac:dyDescent="0.2">
      <c r="B1029" s="14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4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4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4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5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1</v>
      </c>
      <c r="H1034" s="63">
        <f>VLOOKUP($B1010,[5]Complaints!$A$4:$AJ$39,21,)</f>
        <v>1</v>
      </c>
      <c r="I1034" s="63">
        <f>VLOOKUP($B1010,[6]Complaints!$A$4:$AJ$39,21,)</f>
        <v>1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2</v>
      </c>
      <c r="N1034" s="63">
        <f>VLOOKUP($B1010,[11]Complaints!$A$4:$AJ$39,21,)</f>
        <v>1</v>
      </c>
      <c r="O1034" s="64">
        <f>VLOOKUP($B1010,[12]Complaints!$A$4:$AJ$39,21,)</f>
        <v>0</v>
      </c>
      <c r="P1034" s="65">
        <f>SUM(D1034:O1034)</f>
        <v>6</v>
      </c>
      <c r="Q1034" s="46">
        <f>IF(P1034=0,"",P1034/$P1018)</f>
        <v>1</v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1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1</v>
      </c>
      <c r="Q1035" s="70">
        <f>IF(P1035=0,"",P1035/$P1018)</f>
        <v>0.16666666666666666</v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1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1</v>
      </c>
      <c r="O1036" s="68">
        <f>VLOOKUP($B1010,[12]Complaints!$A$4:$AJ$39,23,)</f>
        <v>0</v>
      </c>
      <c r="P1036" s="69">
        <f t="shared" si="271"/>
        <v>2</v>
      </c>
      <c r="Q1036" s="70">
        <f>IF(P1036=0,"",P1036/$P1018)</f>
        <v>0.33333333333333331</v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1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1</v>
      </c>
      <c r="Q1038" s="70">
        <f>IF(P1038=0,"",P1038/$P1018)</f>
        <v>0.16666666666666666</v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1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1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2</v>
      </c>
      <c r="Q1041" s="70">
        <f>IF(P1041=0,"",P1041/$P1018)</f>
        <v>0.33333333333333331</v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1</v>
      </c>
      <c r="K1044" s="75">
        <f>VLOOKUP($B1010,[8]Complaints!$A$4:$AJ$39,31,)</f>
        <v>1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2</v>
      </c>
      <c r="Q1044" s="50">
        <f>IF(P1044=0,"",P1044/$P1018)</f>
        <v>0.33333333333333331</v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1</v>
      </c>
      <c r="K1045" s="67">
        <f>VLOOKUP($B1010,[8]Complaints!$A$4:$AJ$39,32,)</f>
        <v>1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2</v>
      </c>
      <c r="Q1045" s="70">
        <f>IF(P1045=0,"",P1045/$P1018)</f>
        <v>0.33333333333333331</v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9" t="s">
        <v>43</v>
      </c>
      <c r="C1051" s="160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2" t="s">
        <v>104</v>
      </c>
      <c r="R1051" s="18"/>
    </row>
    <row r="1052" spans="2:18" ht="15.75" customHeight="1" thickBot="1" x14ac:dyDescent="0.3">
      <c r="B1052" s="151" t="s">
        <v>52</v>
      </c>
      <c r="C1052" s="152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3"/>
      <c r="R1052" s="18"/>
    </row>
    <row r="1053" spans="2:18" ht="12.75" customHeight="1" thickBot="1" x14ac:dyDescent="0.25">
      <c r="B1053" s="153" t="s">
        <v>38</v>
      </c>
      <c r="C1053" s="154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1108</v>
      </c>
      <c r="H1053" s="43">
        <f>VLOOKUP($B1052,[5]Complaints!$A$4:$AJ$39,2)</f>
        <v>1732</v>
      </c>
      <c r="I1053" s="43">
        <f>VLOOKUP($B1052,[6]Complaints!$A$4:$AJ$39,2)</f>
        <v>2059</v>
      </c>
      <c r="J1053" s="43">
        <f>VLOOKUP($B1052,[7]Complaints!$A$4:$AJ$39,2)</f>
        <v>1967</v>
      </c>
      <c r="K1053" s="43">
        <f>VLOOKUP($B1052,[8]Complaints!$A$4:$AJ$39,2)</f>
        <v>1967</v>
      </c>
      <c r="L1053" s="43">
        <f>VLOOKUP($B1052,[9]Complaints!$A$4:$AJ$39,2)</f>
        <v>1812</v>
      </c>
      <c r="M1053" s="43">
        <f>VLOOKUP($B1052,[10]Complaints!$A$4:$AJ$39,2)</f>
        <v>1416</v>
      </c>
      <c r="N1053" s="43">
        <f>VLOOKUP($B1052,[11]Complaints!$A$4:$AJ$39,2)</f>
        <v>1363</v>
      </c>
      <c r="O1053" s="44">
        <f>VLOOKUP($B1052,[12]Complaints!$A$4:$AJ$39,2)</f>
        <v>0</v>
      </c>
      <c r="P1053" s="45">
        <f>SUM(D1053:O1053)</f>
        <v>14929</v>
      </c>
      <c r="Q1053" s="46"/>
      <c r="R1053" s="18"/>
    </row>
    <row r="1054" spans="2:18" ht="15.75" customHeight="1" x14ac:dyDescent="0.2">
      <c r="B1054" s="155" t="s">
        <v>94</v>
      </c>
      <c r="C1054" s="156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1</v>
      </c>
      <c r="J1054" s="48">
        <f>VLOOKUP($B1052,[7]Complaints!$A$4:$AG$39,3,)</f>
        <v>2</v>
      </c>
      <c r="K1054" s="48">
        <f>VLOOKUP($B1052,[8]Complaints!$A$4:$AG$39,3,)</f>
        <v>2</v>
      </c>
      <c r="L1054" s="48">
        <f>VLOOKUP($B1052,[9]Complaints!$A$4:$AG$39,3,)</f>
        <v>0</v>
      </c>
      <c r="M1054" s="48">
        <f>VLOOKUP($B1052,[10]Complaints!$A$4:$AG$39,3,)</f>
        <v>2</v>
      </c>
      <c r="N1054" s="48">
        <f>VLOOKUP($B1052,[11]Complaints!$A$4:$AG$39,3,)</f>
        <v>0</v>
      </c>
      <c r="O1054" s="49">
        <f>VLOOKUP($B1052,[12]Complaints!$A$4:$AG$39,3,)</f>
        <v>0</v>
      </c>
      <c r="P1054" s="45">
        <f>SUM(D1054:O1054)</f>
        <v>9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>
        <f t="shared" si="272"/>
        <v>0</v>
      </c>
      <c r="H1055" s="52">
        <f t="shared" si="272"/>
        <v>0</v>
      </c>
      <c r="I1055" s="52">
        <f t="shared" si="272"/>
        <v>4.8567265662943174E-4</v>
      </c>
      <c r="J1055" s="52">
        <f t="shared" si="272"/>
        <v>1.0167768174885613E-3</v>
      </c>
      <c r="K1055" s="52">
        <f t="shared" si="272"/>
        <v>1.0167768174885613E-3</v>
      </c>
      <c r="L1055" s="52">
        <f t="shared" si="272"/>
        <v>0</v>
      </c>
      <c r="M1055" s="52">
        <f t="shared" si="272"/>
        <v>1.4124293785310734E-3</v>
      </c>
      <c r="N1055" s="52">
        <f t="shared" si="272"/>
        <v>0</v>
      </c>
      <c r="O1055" s="53" t="str">
        <f t="shared" si="272"/>
        <v/>
      </c>
      <c r="P1055" s="54">
        <f>IF(P1054="","",P1054/P1053)</f>
        <v>6.0285350659789675E-4</v>
      </c>
      <c r="Q1055" s="50"/>
      <c r="R1055" s="18"/>
    </row>
    <row r="1056" spans="2:18" s="21" customFormat="1" ht="15.75" customHeight="1" x14ac:dyDescent="0.2">
      <c r="B1056" s="157" t="s">
        <v>95</v>
      </c>
      <c r="C1056" s="158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1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1</v>
      </c>
      <c r="N1056" s="48">
        <f>VLOOKUP($B1052,[11]Complaints!$A$4:$AG$39,4,)</f>
        <v>0</v>
      </c>
      <c r="O1056" s="49">
        <f>VLOOKUP($B1052,[12]Complaints!$A$4:$AG$39,4,)</f>
        <v>0</v>
      </c>
      <c r="P1056" s="55">
        <f t="shared" ref="P1056" si="273">SUM(D1056:O1056)</f>
        <v>2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>
        <f t="shared" si="274"/>
        <v>0</v>
      </c>
      <c r="H1057" s="52">
        <f t="shared" si="274"/>
        <v>0</v>
      </c>
      <c r="I1057" s="52">
        <f t="shared" si="274"/>
        <v>4.8567265662943174E-4</v>
      </c>
      <c r="J1057" s="52">
        <f t="shared" si="274"/>
        <v>0</v>
      </c>
      <c r="K1057" s="52">
        <f t="shared" si="274"/>
        <v>0</v>
      </c>
      <c r="L1057" s="52">
        <f t="shared" si="274"/>
        <v>0</v>
      </c>
      <c r="M1057" s="52">
        <f t="shared" si="274"/>
        <v>7.0621468926553672E-4</v>
      </c>
      <c r="N1057" s="52">
        <f t="shared" si="274"/>
        <v>0</v>
      </c>
      <c r="O1057" s="53" t="str">
        <f t="shared" si="274"/>
        <v/>
      </c>
      <c r="P1057" s="54">
        <f>IF(P1056="","",P1056/P1053)</f>
        <v>1.3396744591064372E-4</v>
      </c>
      <c r="Q1057" s="50"/>
      <c r="R1057" s="18"/>
    </row>
    <row r="1058" spans="2:18" ht="15.75" customHeight="1" x14ac:dyDescent="0.2">
      <c r="B1058" s="157" t="s">
        <v>96</v>
      </c>
      <c r="C1058" s="158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2</v>
      </c>
      <c r="K1058" s="48">
        <f>VLOOKUP($B1052,[8]Complaints!$A$4:$AG$39,5,)</f>
        <v>2</v>
      </c>
      <c r="L1058" s="48">
        <f>VLOOKUP($B1052,[9]Complaints!$A$4:$AG$39,5,)</f>
        <v>0</v>
      </c>
      <c r="M1058" s="48">
        <f>VLOOKUP($B1052,[10]Complaints!$A$4:$AG$39,5,)</f>
        <v>1</v>
      </c>
      <c r="N1058" s="48">
        <f>VLOOKUP($B1052,[11]Complaints!$A$4:$AG$39,5,)</f>
        <v>0</v>
      </c>
      <c r="O1058" s="49">
        <f>VLOOKUP($B1052,[12]Complaints!$A$4:$AG$39,5,)</f>
        <v>0</v>
      </c>
      <c r="P1058" s="55">
        <f t="shared" ref="P1058" si="275">SUM(D1058:O1058)</f>
        <v>7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>
        <f t="shared" si="276"/>
        <v>0</v>
      </c>
      <c r="H1059" s="52">
        <f t="shared" si="276"/>
        <v>0</v>
      </c>
      <c r="I1059" s="52">
        <f t="shared" si="276"/>
        <v>0</v>
      </c>
      <c r="J1059" s="52">
        <f t="shared" si="276"/>
        <v>1.0167768174885613E-3</v>
      </c>
      <c r="K1059" s="52">
        <f t="shared" si="276"/>
        <v>1.0167768174885613E-3</v>
      </c>
      <c r="L1059" s="52">
        <f t="shared" si="276"/>
        <v>0</v>
      </c>
      <c r="M1059" s="52">
        <f t="shared" si="276"/>
        <v>7.0621468926553672E-4</v>
      </c>
      <c r="N1059" s="52">
        <f t="shared" si="276"/>
        <v>0</v>
      </c>
      <c r="O1059" s="53" t="str">
        <f t="shared" si="276"/>
        <v/>
      </c>
      <c r="P1059" s="54">
        <f>IF(P1058="","",P1058/P1053)</f>
        <v>4.6888606068725298E-4</v>
      </c>
      <c r="Q1059" s="50"/>
      <c r="R1059" s="18"/>
    </row>
    <row r="1060" spans="2:18" ht="15.75" customHeight="1" x14ac:dyDescent="0.2">
      <c r="B1060" s="161" t="s">
        <v>97</v>
      </c>
      <c r="C1060" s="158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2</v>
      </c>
      <c r="K1060" s="48">
        <f>VLOOKUP($B1052,[8]Complaints!$A$4:$AG$39,6,)</f>
        <v>2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0</v>
      </c>
      <c r="P1060" s="55">
        <f t="shared" ref="P1060" si="277">SUM(D1060:O1060)</f>
        <v>5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>
        <f t="shared" ref="J1061:O1061" si="279">IF(J1060=0,"",J1060/J1058)</f>
        <v>1</v>
      </c>
      <c r="K1061" s="57">
        <f t="shared" si="279"/>
        <v>1</v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 t="str">
        <f t="shared" si="279"/>
        <v/>
      </c>
      <c r="P1061" s="59">
        <f>IF(P1060=0,"",P1060/P1058)</f>
        <v>0.7142857142857143</v>
      </c>
      <c r="Q1061" s="60"/>
      <c r="R1061" s="18"/>
    </row>
    <row r="1062" spans="2:18" ht="15.75" customHeight="1" x14ac:dyDescent="0.2">
      <c r="B1062" s="14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1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1</v>
      </c>
      <c r="Q1062" s="46">
        <f>IF(P1062=0,"",P1062/$P1054)</f>
        <v>0.1111111111111111</v>
      </c>
      <c r="R1062" s="18"/>
    </row>
    <row r="1063" spans="2:18" ht="15.75" customHeight="1" x14ac:dyDescent="0.2">
      <c r="B1063" s="14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1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2</v>
      </c>
      <c r="Q1063" s="50">
        <f>IF(P1063="","",P1063/$P1054)</f>
        <v>0.22222222222222221</v>
      </c>
      <c r="R1063" s="18"/>
    </row>
    <row r="1064" spans="2:18" ht="15.75" customHeight="1" x14ac:dyDescent="0.2">
      <c r="B1064" s="14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4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1</v>
      </c>
      <c r="L1065" s="48">
        <f>VLOOKUP($B1052,[9]Complaints!$A$4:$AJ$39,10,)</f>
        <v>0</v>
      </c>
      <c r="M1065" s="48">
        <f>VLOOKUP($B1052,[10]Complaints!$A$4:$AJ$39,10,)</f>
        <v>1</v>
      </c>
      <c r="N1065" s="48">
        <f>VLOOKUP($B1052,[11]Complaints!$A$4:$AJ$39,10,)</f>
        <v>0</v>
      </c>
      <c r="O1065" s="49">
        <f>VLOOKUP($B1052,[12]Complaints!$A$4:$AJ$39,10,)</f>
        <v>0</v>
      </c>
      <c r="P1065" s="55">
        <f>SUM(D1065:O1065)</f>
        <v>2</v>
      </c>
      <c r="Q1065" s="50">
        <f>IF(P1065=0,"",P1065/$P1054)</f>
        <v>0.22222222222222221</v>
      </c>
      <c r="R1065" s="18"/>
    </row>
    <row r="1066" spans="2:18" ht="15.75" customHeight="1" x14ac:dyDescent="0.2">
      <c r="B1066" s="14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1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0</v>
      </c>
      <c r="P1066" s="55">
        <f t="shared" ref="P1066:P1075" si="281">SUM(D1066:O1066)</f>
        <v>1</v>
      </c>
      <c r="Q1066" s="50">
        <f>IF(P1066=0,"",P1066/$P1054)</f>
        <v>0.1111111111111111</v>
      </c>
      <c r="R1066" s="18"/>
    </row>
    <row r="1067" spans="2:18" s="19" customFormat="1" ht="15.75" customHeight="1" x14ac:dyDescent="0.2">
      <c r="B1067" s="14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1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1</v>
      </c>
      <c r="Q1067" s="50">
        <f>IF(P1067=0,"",P1067/$P1054)</f>
        <v>0.1111111111111111</v>
      </c>
    </row>
    <row r="1068" spans="2:18" ht="15.75" customHeight="1" x14ac:dyDescent="0.2">
      <c r="B1068" s="14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4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4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0.1111111111111111</v>
      </c>
      <c r="R1070" s="18"/>
    </row>
    <row r="1071" spans="2:18" ht="15.75" customHeight="1" x14ac:dyDescent="0.2">
      <c r="B1071" s="14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4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4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4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5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1</v>
      </c>
      <c r="J1076" s="63">
        <f>VLOOKUP($B1052,[7]Complaints!$A$4:$AJ$39,21,)</f>
        <v>2</v>
      </c>
      <c r="K1076" s="63">
        <f>VLOOKUP($B1052,[8]Complaints!$A$4:$AJ$39,21,)</f>
        <v>2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0</v>
      </c>
      <c r="P1076" s="65">
        <f>SUM(D1076:O1076)</f>
        <v>6</v>
      </c>
      <c r="Q1076" s="46">
        <f>IF(P1076=0,"",P1076/$P1060)</f>
        <v>1.2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1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2</v>
      </c>
      <c r="Q1077" s="70">
        <f>IF(P1077=0,"",P1077/$P1060)</f>
        <v>0.4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1</v>
      </c>
      <c r="K1078" s="67">
        <f>VLOOKUP($B1052,[8]Complaints!$A$4:$AJ$39,23,)</f>
        <v>1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2</v>
      </c>
      <c r="Q1078" s="70">
        <f>IF(P1078=0,"",P1078/$P1060)</f>
        <v>0.4</v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0</v>
      </c>
      <c r="P1080" s="69">
        <f t="shared" si="282"/>
        <v>0</v>
      </c>
      <c r="Q1080" s="70" t="str">
        <f>IF(P1080=0,"",P1080/$P1060)</f>
        <v/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1</v>
      </c>
      <c r="K1082" s="72">
        <f>VLOOKUP($B1052,[8]Complaints!$A$4:$AJ$39,27,)</f>
        <v>1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0</v>
      </c>
      <c r="P1082" s="69">
        <f t="shared" si="282"/>
        <v>2</v>
      </c>
      <c r="Q1082" s="70">
        <f>IF(P1082=0,"",P1082/$P1060)</f>
        <v>0.4</v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9" t="s">
        <v>32</v>
      </c>
      <c r="C1093" s="160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2" t="s">
        <v>104</v>
      </c>
      <c r="R1093" s="18"/>
    </row>
    <row r="1094" spans="2:18" ht="15.75" customHeight="1" thickBot="1" x14ac:dyDescent="0.3">
      <c r="B1094" s="151" t="s">
        <v>51</v>
      </c>
      <c r="C1094" s="152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3"/>
      <c r="R1094" s="18"/>
    </row>
    <row r="1095" spans="2:18" ht="12.75" customHeight="1" thickBot="1" x14ac:dyDescent="0.25">
      <c r="B1095" s="153" t="s">
        <v>38</v>
      </c>
      <c r="C1095" s="154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1041</v>
      </c>
      <c r="H1095" s="43">
        <f>VLOOKUP($B1094,[5]Complaints!$A$4:$AJ$39,2)</f>
        <v>1120</v>
      </c>
      <c r="I1095" s="43">
        <f>VLOOKUP($B1094,[6]Complaints!$A$4:$AJ$39,2)</f>
        <v>1236</v>
      </c>
      <c r="J1095" s="43">
        <f>VLOOKUP($B1094,[7]Complaints!$A$4:$AJ$39,2)</f>
        <v>1133</v>
      </c>
      <c r="K1095" s="43">
        <f>VLOOKUP($B1094,[8]Complaints!$A$4:$AJ$39,2)</f>
        <v>1133</v>
      </c>
      <c r="L1095" s="43">
        <f>VLOOKUP($B1094,[9]Complaints!$A$4:$AJ$39,2)</f>
        <v>991</v>
      </c>
      <c r="M1095" s="43">
        <f>VLOOKUP($B1094,[10]Complaints!$A$4:$AJ$39,2)</f>
        <v>639</v>
      </c>
      <c r="N1095" s="43">
        <f>VLOOKUP($B1094,[11]Complaints!$A$4:$AJ$39,2)</f>
        <v>714</v>
      </c>
      <c r="O1095" s="44">
        <f>VLOOKUP($B1094,[12]Complaints!$A$4:$AJ$39,2)</f>
        <v>0</v>
      </c>
      <c r="P1095" s="45">
        <f>SUM(D1095:O1095)</f>
        <v>9364</v>
      </c>
      <c r="Q1095" s="46"/>
      <c r="R1095" s="18"/>
    </row>
    <row r="1096" spans="2:18" ht="15.75" customHeight="1" x14ac:dyDescent="0.2">
      <c r="B1096" s="155" t="s">
        <v>94</v>
      </c>
      <c r="C1096" s="156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>
        <f t="shared" si="283"/>
        <v>0</v>
      </c>
      <c r="H1097" s="52">
        <f t="shared" si="283"/>
        <v>0</v>
      </c>
      <c r="I1097" s="52">
        <f t="shared" si="283"/>
        <v>0</v>
      </c>
      <c r="J1097" s="52">
        <f t="shared" si="283"/>
        <v>0</v>
      </c>
      <c r="K1097" s="52">
        <f t="shared" si="283"/>
        <v>0</v>
      </c>
      <c r="L1097" s="52">
        <f t="shared" si="283"/>
        <v>0</v>
      </c>
      <c r="M1097" s="52">
        <f t="shared" si="283"/>
        <v>0</v>
      </c>
      <c r="N1097" s="52">
        <f t="shared" si="283"/>
        <v>0</v>
      </c>
      <c r="O1097" s="53" t="str">
        <f t="shared" si="283"/>
        <v/>
      </c>
      <c r="P1097" s="54">
        <f>IF(P1096="","",P1096/P1095)</f>
        <v>2.1358393848782572E-4</v>
      </c>
      <c r="Q1097" s="50"/>
      <c r="R1097" s="18"/>
    </row>
    <row r="1098" spans="2:18" s="21" customFormat="1" ht="15.75" customHeight="1" x14ac:dyDescent="0.2">
      <c r="B1098" s="157" t="s">
        <v>95</v>
      </c>
      <c r="C1098" s="158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>
        <f t="shared" si="285"/>
        <v>0</v>
      </c>
      <c r="H1099" s="52">
        <f t="shared" si="285"/>
        <v>0</v>
      </c>
      <c r="I1099" s="52">
        <f t="shared" si="285"/>
        <v>0</v>
      </c>
      <c r="J1099" s="52">
        <f t="shared" si="285"/>
        <v>0</v>
      </c>
      <c r="K1099" s="52">
        <f t="shared" si="285"/>
        <v>0</v>
      </c>
      <c r="L1099" s="52">
        <f t="shared" si="285"/>
        <v>0</v>
      </c>
      <c r="M1099" s="52">
        <f t="shared" si="285"/>
        <v>0</v>
      </c>
      <c r="N1099" s="52">
        <f t="shared" si="285"/>
        <v>0</v>
      </c>
      <c r="O1099" s="53" t="str">
        <f t="shared" si="285"/>
        <v/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7" t="s">
        <v>96</v>
      </c>
      <c r="C1100" s="158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>
        <f t="shared" si="287"/>
        <v>0</v>
      </c>
      <c r="H1101" s="52">
        <f t="shared" si="287"/>
        <v>0</v>
      </c>
      <c r="I1101" s="52">
        <f t="shared" si="287"/>
        <v>0</v>
      </c>
      <c r="J1101" s="52">
        <f t="shared" si="287"/>
        <v>0</v>
      </c>
      <c r="K1101" s="52">
        <f t="shared" si="287"/>
        <v>0</v>
      </c>
      <c r="L1101" s="52">
        <f t="shared" si="287"/>
        <v>0</v>
      </c>
      <c r="M1101" s="52">
        <f t="shared" si="287"/>
        <v>0</v>
      </c>
      <c r="N1101" s="52">
        <f t="shared" si="287"/>
        <v>0</v>
      </c>
      <c r="O1101" s="53" t="str">
        <f t="shared" si="287"/>
        <v/>
      </c>
      <c r="P1101" s="54">
        <f>IF(P1100="","",P1100/P1095)</f>
        <v>2.1358393848782572E-4</v>
      </c>
      <c r="Q1101" s="50"/>
      <c r="R1101" s="18"/>
    </row>
    <row r="1102" spans="2:18" ht="15.75" customHeight="1" x14ac:dyDescent="0.2">
      <c r="B1102" s="161" t="s">
        <v>97</v>
      </c>
      <c r="C1102" s="158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4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4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4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4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4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4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4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4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4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4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4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4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4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5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9" t="s">
        <v>33</v>
      </c>
      <c r="C1135" s="160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2" t="s">
        <v>104</v>
      </c>
      <c r="R1135" s="18"/>
    </row>
    <row r="1136" spans="1:19" ht="15.75" customHeight="1" thickBot="1" x14ac:dyDescent="0.3">
      <c r="B1136" s="151" t="s">
        <v>50</v>
      </c>
      <c r="C1136" s="152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3"/>
      <c r="R1136" s="18"/>
    </row>
    <row r="1137" spans="2:18" ht="12.75" customHeight="1" thickBot="1" x14ac:dyDescent="0.25">
      <c r="B1137" s="153" t="s">
        <v>38</v>
      </c>
      <c r="C1137" s="154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1593</v>
      </c>
      <c r="H1137" s="43">
        <f>VLOOKUP($B1136,[5]Complaints!$A$4:$AJ$39,2)</f>
        <v>2006</v>
      </c>
      <c r="I1137" s="43">
        <f>VLOOKUP($B1136,[6]Complaints!$A$4:$AJ$39,2)</f>
        <v>2244</v>
      </c>
      <c r="J1137" s="43">
        <f>VLOOKUP($B1136,[7]Complaints!$A$4:$AJ$39,2)</f>
        <v>2360</v>
      </c>
      <c r="K1137" s="43">
        <f>VLOOKUP($B1136,[8]Complaints!$A$4:$AJ$39,2)</f>
        <v>2360</v>
      </c>
      <c r="L1137" s="43">
        <f>VLOOKUP($B1136,[9]Complaints!$A$4:$AJ$39,2)</f>
        <v>2203</v>
      </c>
      <c r="M1137" s="43">
        <f>VLOOKUP($B1136,[10]Complaints!$A$4:$AJ$39,2)</f>
        <v>1661</v>
      </c>
      <c r="N1137" s="43">
        <f>VLOOKUP($B1136,[11]Complaints!$A$4:$AJ$39,2)</f>
        <v>1788</v>
      </c>
      <c r="O1137" s="44">
        <f>VLOOKUP($B1136,[12]Complaints!$A$4:$AJ$39,2)</f>
        <v>0</v>
      </c>
      <c r="P1137" s="45">
        <f>SUM(D1137:O1137)</f>
        <v>18191</v>
      </c>
      <c r="Q1137" s="46"/>
      <c r="R1137" s="18"/>
    </row>
    <row r="1138" spans="2:18" ht="15.75" customHeight="1" x14ac:dyDescent="0.2">
      <c r="B1138" s="155" t="s">
        <v>94</v>
      </c>
      <c r="C1138" s="156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1</v>
      </c>
      <c r="H1138" s="48">
        <f>VLOOKUP($B1136,[5]Complaints!$A$4:$AG$39,3,)</f>
        <v>0</v>
      </c>
      <c r="I1138" s="48">
        <f>VLOOKUP($B1136,[6]Complaints!$A$4:$AG$39,3,)</f>
        <v>4</v>
      </c>
      <c r="J1138" s="48">
        <f>VLOOKUP($B1136,[7]Complaints!$A$4:$AG$39,3,)</f>
        <v>2</v>
      </c>
      <c r="K1138" s="48">
        <f>VLOOKUP($B1136,[8]Complaints!$A$4:$AG$39,3,)</f>
        <v>2</v>
      </c>
      <c r="L1138" s="48">
        <f>VLOOKUP($B1136,[9]Complaints!$A$4:$AG$39,3,)</f>
        <v>3</v>
      </c>
      <c r="M1138" s="48">
        <f>VLOOKUP($B1136,[10]Complaints!$A$4:$AG$39,3,)</f>
        <v>0</v>
      </c>
      <c r="N1138" s="48">
        <f>VLOOKUP($B1136,[11]Complaints!$A$4:$AG$39,3,)</f>
        <v>2</v>
      </c>
      <c r="O1138" s="49">
        <f>VLOOKUP($B1136,[12]Complaints!$A$4:$AG$39,3,)</f>
        <v>0</v>
      </c>
      <c r="P1138" s="45">
        <f>SUM(D1138:O1138)</f>
        <v>15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>
        <f t="shared" si="294"/>
        <v>6.2774639045825491E-4</v>
      </c>
      <c r="H1139" s="52">
        <f t="shared" si="294"/>
        <v>0</v>
      </c>
      <c r="I1139" s="52">
        <f t="shared" si="294"/>
        <v>1.7825311942959001E-3</v>
      </c>
      <c r="J1139" s="52">
        <f t="shared" si="294"/>
        <v>8.4745762711864404E-4</v>
      </c>
      <c r="K1139" s="52">
        <f t="shared" si="294"/>
        <v>8.4745762711864404E-4</v>
      </c>
      <c r="L1139" s="52">
        <f t="shared" si="294"/>
        <v>1.3617793917385383E-3</v>
      </c>
      <c r="M1139" s="52">
        <f t="shared" si="294"/>
        <v>0</v>
      </c>
      <c r="N1139" s="52">
        <f t="shared" si="294"/>
        <v>1.1185682326621924E-3</v>
      </c>
      <c r="O1139" s="53" t="str">
        <f t="shared" si="294"/>
        <v/>
      </c>
      <c r="P1139" s="54">
        <f>IF(P1138="","",P1138/P1137)</f>
        <v>8.2458358528942884E-4</v>
      </c>
      <c r="Q1139" s="50"/>
      <c r="R1139" s="18"/>
    </row>
    <row r="1140" spans="2:18" s="21" customFormat="1" ht="15.75" customHeight="1" x14ac:dyDescent="0.2">
      <c r="B1140" s="157" t="s">
        <v>95</v>
      </c>
      <c r="C1140" s="158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4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1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6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>
        <f t="shared" si="296"/>
        <v>0</v>
      </c>
      <c r="H1141" s="52">
        <f t="shared" si="296"/>
        <v>0</v>
      </c>
      <c r="I1141" s="52">
        <f t="shared" si="296"/>
        <v>1.7825311942959001E-3</v>
      </c>
      <c r="J1141" s="52">
        <f t="shared" si="296"/>
        <v>0</v>
      </c>
      <c r="K1141" s="52">
        <f t="shared" si="296"/>
        <v>0</v>
      </c>
      <c r="L1141" s="52">
        <f t="shared" si="296"/>
        <v>4.5392646391284613E-4</v>
      </c>
      <c r="M1141" s="52">
        <f t="shared" si="296"/>
        <v>0</v>
      </c>
      <c r="N1141" s="52">
        <f t="shared" si="296"/>
        <v>0</v>
      </c>
      <c r="O1141" s="53" t="str">
        <f t="shared" si="296"/>
        <v/>
      </c>
      <c r="P1141" s="54">
        <f>IF(P1140="","",P1140/P1137)</f>
        <v>3.2983343411577151E-4</v>
      </c>
      <c r="Q1141" s="50"/>
      <c r="R1141" s="18"/>
    </row>
    <row r="1142" spans="2:18" ht="15.75" customHeight="1" x14ac:dyDescent="0.2">
      <c r="B1142" s="157" t="s">
        <v>96</v>
      </c>
      <c r="C1142" s="158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1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2</v>
      </c>
      <c r="K1142" s="48">
        <f>VLOOKUP($B1136,[8]Complaints!$A$4:$AG$39,5,)</f>
        <v>2</v>
      </c>
      <c r="L1142" s="48">
        <f>VLOOKUP($B1136,[9]Complaints!$A$4:$AG$39,5,)</f>
        <v>2</v>
      </c>
      <c r="M1142" s="48">
        <f>VLOOKUP($B1136,[10]Complaints!$A$4:$AG$39,5,)</f>
        <v>0</v>
      </c>
      <c r="N1142" s="48">
        <f>VLOOKUP($B1136,[11]Complaints!$A$4:$AG$39,5,)</f>
        <v>2</v>
      </c>
      <c r="O1142" s="49">
        <f>VLOOKUP($B1136,[12]Complaints!$A$4:$AG$39,5,)</f>
        <v>0</v>
      </c>
      <c r="P1142" s="55">
        <f t="shared" ref="P1142" si="297">SUM(D1142:O1142)</f>
        <v>9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>
        <f t="shared" si="298"/>
        <v>6.2774639045825491E-4</v>
      </c>
      <c r="H1143" s="52">
        <f t="shared" si="298"/>
        <v>0</v>
      </c>
      <c r="I1143" s="52">
        <f t="shared" si="298"/>
        <v>0</v>
      </c>
      <c r="J1143" s="52">
        <f t="shared" si="298"/>
        <v>8.4745762711864404E-4</v>
      </c>
      <c r="K1143" s="52">
        <f t="shared" si="298"/>
        <v>8.4745762711864404E-4</v>
      </c>
      <c r="L1143" s="52">
        <f t="shared" si="298"/>
        <v>9.0785292782569226E-4</v>
      </c>
      <c r="M1143" s="52">
        <f t="shared" si="298"/>
        <v>0</v>
      </c>
      <c r="N1143" s="52">
        <f t="shared" si="298"/>
        <v>1.1185682326621924E-3</v>
      </c>
      <c r="O1143" s="53" t="str">
        <f t="shared" si="298"/>
        <v/>
      </c>
      <c r="P1143" s="54">
        <f>IF(P1142="","",P1142/P1137)</f>
        <v>4.9475015117365732E-4</v>
      </c>
      <c r="Q1143" s="50"/>
      <c r="R1143" s="18"/>
    </row>
    <row r="1144" spans="2:18" ht="15.75" customHeight="1" x14ac:dyDescent="0.2">
      <c r="B1144" s="161" t="s">
        <v>97</v>
      </c>
      <c r="C1144" s="158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2</v>
      </c>
      <c r="K1144" s="48">
        <f>VLOOKUP($B1136,[8]Complaints!$A$4:$AG$39,6,)</f>
        <v>2</v>
      </c>
      <c r="L1144" s="48">
        <f>VLOOKUP($B1136,[9]Complaints!$A$4:$AG$39,6,)</f>
        <v>1</v>
      </c>
      <c r="M1144" s="48">
        <f>VLOOKUP($B1136,[10]Complaints!$A$4:$AG$39,6,)</f>
        <v>0</v>
      </c>
      <c r="N1144" s="48">
        <f>VLOOKUP($B1136,[11]Complaints!$A$4:$AG$39,6,)</f>
        <v>1</v>
      </c>
      <c r="O1144" s="49">
        <f>VLOOKUP($B1136,[12]Complaints!$A$4:$AG$39,6,)</f>
        <v>0</v>
      </c>
      <c r="P1144" s="55">
        <f t="shared" ref="P1144" si="299">SUM(D1144:O1144)</f>
        <v>7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>
        <f t="shared" ref="J1145:O1145" si="301">IF(J1144=0,"",J1144/J1142)</f>
        <v>1</v>
      </c>
      <c r="K1145" s="57">
        <f t="shared" si="301"/>
        <v>1</v>
      </c>
      <c r="L1145" s="57">
        <f t="shared" si="301"/>
        <v>0.5</v>
      </c>
      <c r="M1145" s="57" t="str">
        <f t="shared" si="301"/>
        <v/>
      </c>
      <c r="N1145" s="57">
        <f t="shared" si="301"/>
        <v>0.5</v>
      </c>
      <c r="O1145" s="58" t="str">
        <f t="shared" si="301"/>
        <v/>
      </c>
      <c r="P1145" s="59">
        <f>IF(P1144=0,"",P1144/P1142)</f>
        <v>0.77777777777777779</v>
      </c>
      <c r="Q1145" s="60"/>
      <c r="R1145" s="18"/>
    </row>
    <row r="1146" spans="2:18" ht="15.75" customHeight="1" x14ac:dyDescent="0.2">
      <c r="B1146" s="14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6.6666666666666666E-2</v>
      </c>
      <c r="R1146" s="18"/>
    </row>
    <row r="1147" spans="2:18" ht="15.75" customHeight="1" x14ac:dyDescent="0.2">
      <c r="B1147" s="14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1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2</v>
      </c>
      <c r="K1147" s="48">
        <f>VLOOKUP($B1136,[8]Complaints!$A$4:$AJ$39,8,)</f>
        <v>0</v>
      </c>
      <c r="L1147" s="48">
        <f>VLOOKUP($B1136,[9]Complaints!$A$4:$AJ$39,8,)</f>
        <v>2</v>
      </c>
      <c r="M1147" s="48">
        <f>VLOOKUP($B1136,[10]Complaints!$A$4:$AJ$39,8,)</f>
        <v>0</v>
      </c>
      <c r="N1147" s="48">
        <f>VLOOKUP($B1136,[11]Complaints!$A$4:$AJ$39,8,)</f>
        <v>2</v>
      </c>
      <c r="O1147" s="49">
        <f>VLOOKUP($B1136,[12]Complaints!$A$4:$AJ$39,8,)</f>
        <v>0</v>
      </c>
      <c r="P1147" s="55">
        <f t="shared" ref="P1147:P1148" si="302">SUM(D1147:O1147)</f>
        <v>7</v>
      </c>
      <c r="Q1147" s="50">
        <f>IF(P1147="","",P1147/$P1138)</f>
        <v>0.46666666666666667</v>
      </c>
      <c r="R1147" s="18"/>
    </row>
    <row r="1148" spans="2:18" ht="15.75" customHeight="1" x14ac:dyDescent="0.2">
      <c r="B1148" s="14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4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4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1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5</v>
      </c>
      <c r="Q1149" s="50">
        <f>IF(P1149=0,"",P1149/$P1138)</f>
        <v>0.33333333333333331</v>
      </c>
      <c r="R1149" s="18"/>
    </row>
    <row r="1150" spans="2:18" ht="15.75" customHeight="1" x14ac:dyDescent="0.2">
      <c r="B1150" s="14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4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4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4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4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4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4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4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4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5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3</v>
      </c>
      <c r="J1160" s="63">
        <f>VLOOKUP($B1136,[7]Complaints!$A$4:$AJ$39,21,)</f>
        <v>2</v>
      </c>
      <c r="K1160" s="63">
        <f>VLOOKUP($B1136,[8]Complaints!$A$4:$AJ$39,21,)</f>
        <v>2</v>
      </c>
      <c r="L1160" s="63">
        <f>VLOOKUP($B1136,[9]Complaints!$A$4:$AJ$39,21,)</f>
        <v>1</v>
      </c>
      <c r="M1160" s="63">
        <f>VLOOKUP($B1136,[10]Complaints!$A$4:$AJ$39,21,)</f>
        <v>0</v>
      </c>
      <c r="N1160" s="63">
        <f>VLOOKUP($B1136,[11]Complaints!$A$4:$AJ$39,21,)</f>
        <v>1</v>
      </c>
      <c r="O1160" s="64">
        <f>VLOOKUP($B1136,[12]Complaints!$A$4:$AJ$39,21,)</f>
        <v>0</v>
      </c>
      <c r="P1160" s="65">
        <f>SUM(D1160:O1160)</f>
        <v>10</v>
      </c>
      <c r="Q1160" s="46">
        <f>IF(P1160=0,"",P1160/$P1144)</f>
        <v>1.4285714285714286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0.14285714285714285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2</v>
      </c>
      <c r="K1162" s="67">
        <f>VLOOKUP($B1136,[8]Complaints!$A$4:$AJ$39,23,)</f>
        <v>2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1</v>
      </c>
      <c r="O1162" s="68">
        <f>VLOOKUP($B1136,[12]Complaints!$A$4:$AJ$39,23,)</f>
        <v>0</v>
      </c>
      <c r="P1162" s="69">
        <f t="shared" si="304"/>
        <v>5</v>
      </c>
      <c r="Q1162" s="70">
        <f>IF(P1162=0,"",P1162/$P1144)</f>
        <v>0.7142857142857143</v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3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3</v>
      </c>
      <c r="Q1164" s="70">
        <f>IF(P1164=0,"",P1164/$P1144)</f>
        <v>0.42857142857142855</v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1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1</v>
      </c>
      <c r="Q1165" s="70">
        <f>IF(P1165=0,"",P1165/$P1144)</f>
        <v>0.14285714285714285</v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9" t="s">
        <v>34</v>
      </c>
      <c r="C1177" s="160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2" t="s">
        <v>104</v>
      </c>
      <c r="R1177" s="18"/>
    </row>
    <row r="1178" spans="2:18" ht="15.75" customHeight="1" thickBot="1" x14ac:dyDescent="0.3">
      <c r="B1178" s="151" t="s">
        <v>49</v>
      </c>
      <c r="C1178" s="152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3"/>
      <c r="R1178" s="18"/>
    </row>
    <row r="1179" spans="2:18" ht="12.75" customHeight="1" thickBot="1" x14ac:dyDescent="0.25">
      <c r="B1179" s="153" t="s">
        <v>38</v>
      </c>
      <c r="C1179" s="154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738</v>
      </c>
      <c r="H1179" s="43">
        <f>VLOOKUP($B1178,[5]Complaints!$A$4:$AJ$39,2)</f>
        <v>853</v>
      </c>
      <c r="I1179" s="43">
        <f>VLOOKUP($B1178,[6]Complaints!$A$4:$AJ$39,2)</f>
        <v>969</v>
      </c>
      <c r="J1179" s="43">
        <f>VLOOKUP($B1178,[7]Complaints!$A$4:$AJ$39,2)</f>
        <v>1027</v>
      </c>
      <c r="K1179" s="43">
        <f>VLOOKUP($B1178,[8]Complaints!$A$4:$AJ$39,2)</f>
        <v>1027</v>
      </c>
      <c r="L1179" s="43">
        <f>VLOOKUP($B1178,[9]Complaints!$A$4:$AJ$39,2)</f>
        <v>924</v>
      </c>
      <c r="M1179" s="43">
        <f>VLOOKUP($B1178,[10]Complaints!$A$4:$AJ$39,2)</f>
        <v>611</v>
      </c>
      <c r="N1179" s="43">
        <f>VLOOKUP($B1178,[11]Complaints!$A$4:$AJ$39,2)</f>
        <v>658</v>
      </c>
      <c r="O1179" s="44">
        <f>VLOOKUP($B1178,[12]Complaints!$A$4:$AJ$39,2)</f>
        <v>0</v>
      </c>
      <c r="P1179" s="45">
        <f>SUM(D1179:O1179)</f>
        <v>7825</v>
      </c>
      <c r="Q1179" s="46"/>
      <c r="R1179" s="18"/>
    </row>
    <row r="1180" spans="2:18" ht="15.75" customHeight="1" x14ac:dyDescent="0.2">
      <c r="B1180" s="155" t="s">
        <v>94</v>
      </c>
      <c r="C1180" s="156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2</v>
      </c>
      <c r="I1180" s="48">
        <f>VLOOKUP($B1178,[6]Complaints!$A$4:$AG$39,3,)</f>
        <v>0</v>
      </c>
      <c r="J1180" s="48">
        <f>VLOOKUP($B1178,[7]Complaints!$A$4:$AG$39,3,)</f>
        <v>2</v>
      </c>
      <c r="K1180" s="48">
        <f>VLOOKUP($B1178,[8]Complaints!$A$4:$AG$39,3,)</f>
        <v>2</v>
      </c>
      <c r="L1180" s="48">
        <f>VLOOKUP($B1178,[9]Complaints!$A$4:$AG$39,3,)</f>
        <v>2</v>
      </c>
      <c r="M1180" s="48">
        <f>VLOOKUP($B1178,[10]Complaints!$A$4:$AG$39,3,)</f>
        <v>0</v>
      </c>
      <c r="N1180" s="48">
        <f>VLOOKUP($B1178,[11]Complaints!$A$4:$AG$39,3,)</f>
        <v>1</v>
      </c>
      <c r="O1180" s="49">
        <f>VLOOKUP($B1178,[12]Complaints!$A$4:$AG$39,3,)</f>
        <v>0</v>
      </c>
      <c r="P1180" s="45">
        <f>SUM(D1180:O1180)</f>
        <v>9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>
        <f t="shared" si="305"/>
        <v>0</v>
      </c>
      <c r="H1181" s="52">
        <f t="shared" si="305"/>
        <v>2.3446658851113715E-3</v>
      </c>
      <c r="I1181" s="52">
        <f t="shared" si="305"/>
        <v>0</v>
      </c>
      <c r="J1181" s="52">
        <f t="shared" si="305"/>
        <v>1.9474196689386564E-3</v>
      </c>
      <c r="K1181" s="52">
        <f t="shared" si="305"/>
        <v>1.9474196689386564E-3</v>
      </c>
      <c r="L1181" s="52">
        <f t="shared" si="305"/>
        <v>2.1645021645021645E-3</v>
      </c>
      <c r="M1181" s="52">
        <f t="shared" si="305"/>
        <v>0</v>
      </c>
      <c r="N1181" s="52">
        <f t="shared" si="305"/>
        <v>1.5197568389057751E-3</v>
      </c>
      <c r="O1181" s="53" t="str">
        <f t="shared" si="305"/>
        <v/>
      </c>
      <c r="P1181" s="54">
        <f>IF(P1180="","",P1180/P1179)</f>
        <v>1.1501597444089457E-3</v>
      </c>
      <c r="Q1181" s="50"/>
      <c r="R1181" s="18"/>
    </row>
    <row r="1182" spans="2:18" s="21" customFormat="1" ht="15.75" customHeight="1" x14ac:dyDescent="0.2">
      <c r="B1182" s="157" t="s">
        <v>95</v>
      </c>
      <c r="C1182" s="158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1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1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>
        <f t="shared" si="307"/>
        <v>0</v>
      </c>
      <c r="H1183" s="52">
        <f t="shared" si="307"/>
        <v>0</v>
      </c>
      <c r="I1183" s="52">
        <f t="shared" si="307"/>
        <v>0</v>
      </c>
      <c r="J1183" s="52">
        <f t="shared" si="307"/>
        <v>0</v>
      </c>
      <c r="K1183" s="52">
        <f t="shared" si="307"/>
        <v>0</v>
      </c>
      <c r="L1183" s="52">
        <f t="shared" si="307"/>
        <v>1.0822510822510823E-3</v>
      </c>
      <c r="M1183" s="52">
        <f t="shared" si="307"/>
        <v>0</v>
      </c>
      <c r="N1183" s="52">
        <f t="shared" si="307"/>
        <v>0</v>
      </c>
      <c r="O1183" s="53" t="str">
        <f t="shared" si="307"/>
        <v/>
      </c>
      <c r="P1183" s="54">
        <f>IF(P1182="","",P1182/P1179)</f>
        <v>1.2779552715654952E-4</v>
      </c>
      <c r="Q1183" s="50"/>
      <c r="R1183" s="18"/>
    </row>
    <row r="1184" spans="2:18" ht="15.75" customHeight="1" x14ac:dyDescent="0.2">
      <c r="B1184" s="157" t="s">
        <v>96</v>
      </c>
      <c r="C1184" s="158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2</v>
      </c>
      <c r="I1184" s="48">
        <f>VLOOKUP($B1178,[6]Complaints!$A$4:$AG$39,5,)</f>
        <v>0</v>
      </c>
      <c r="J1184" s="48">
        <f>VLOOKUP($B1178,[7]Complaints!$A$4:$AG$39,5,)</f>
        <v>2</v>
      </c>
      <c r="K1184" s="48">
        <f>VLOOKUP($B1178,[8]Complaints!$A$4:$AG$39,5,)</f>
        <v>2</v>
      </c>
      <c r="L1184" s="48">
        <f>VLOOKUP($B1178,[9]Complaints!$A$4:$AG$39,5,)</f>
        <v>1</v>
      </c>
      <c r="M1184" s="48">
        <f>VLOOKUP($B1178,[10]Complaints!$A$4:$AG$39,5,)</f>
        <v>0</v>
      </c>
      <c r="N1184" s="48">
        <f>VLOOKUP($B1178,[11]Complaints!$A$4:$AG$39,5,)</f>
        <v>1</v>
      </c>
      <c r="O1184" s="49">
        <f>VLOOKUP($B1178,[12]Complaints!$A$4:$AG$39,5,)</f>
        <v>0</v>
      </c>
      <c r="P1184" s="55">
        <f t="shared" ref="P1184" si="308">SUM(D1184:O1184)</f>
        <v>8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>
        <f t="shared" si="309"/>
        <v>0</v>
      </c>
      <c r="H1185" s="52">
        <f t="shared" si="309"/>
        <v>2.3446658851113715E-3</v>
      </c>
      <c r="I1185" s="52">
        <f t="shared" si="309"/>
        <v>0</v>
      </c>
      <c r="J1185" s="52">
        <f t="shared" si="309"/>
        <v>1.9474196689386564E-3</v>
      </c>
      <c r="K1185" s="52">
        <f t="shared" si="309"/>
        <v>1.9474196689386564E-3</v>
      </c>
      <c r="L1185" s="52">
        <f t="shared" si="309"/>
        <v>1.0822510822510823E-3</v>
      </c>
      <c r="M1185" s="52">
        <f t="shared" si="309"/>
        <v>0</v>
      </c>
      <c r="N1185" s="52">
        <f t="shared" si="309"/>
        <v>1.5197568389057751E-3</v>
      </c>
      <c r="O1185" s="53" t="str">
        <f t="shared" si="309"/>
        <v/>
      </c>
      <c r="P1185" s="54">
        <f>IF(P1184="","",P1184/P1179)</f>
        <v>1.0223642172523962E-3</v>
      </c>
      <c r="Q1185" s="50"/>
      <c r="R1185" s="18"/>
    </row>
    <row r="1186" spans="2:18" ht="15.75" customHeight="1" x14ac:dyDescent="0.2">
      <c r="B1186" s="161" t="s">
        <v>97</v>
      </c>
      <c r="C1186" s="158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1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1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0</v>
      </c>
      <c r="P1186" s="55">
        <f t="shared" ref="P1186" si="310">SUM(D1186:O1186)</f>
        <v>2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>
        <f t="shared" si="311"/>
        <v>0.5</v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>
        <f t="shared" si="312"/>
        <v>1</v>
      </c>
      <c r="M1187" s="57" t="str">
        <f t="shared" si="312"/>
        <v/>
      </c>
      <c r="N1187" s="57" t="str">
        <f t="shared" si="312"/>
        <v/>
      </c>
      <c r="O1187" s="58" t="str">
        <f t="shared" si="312"/>
        <v/>
      </c>
      <c r="P1187" s="59">
        <f>IF(P1186=0,"",P1186/P1184)</f>
        <v>0.25</v>
      </c>
      <c r="Q1187" s="60"/>
      <c r="R1187" s="18"/>
    </row>
    <row r="1188" spans="2:18" ht="15.75" customHeight="1" x14ac:dyDescent="0.2">
      <c r="B1188" s="14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4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1</v>
      </c>
      <c r="M1189" s="48">
        <f>VLOOKUP($B1178,[10]Complaints!$A$4:$AJ$39,8,)</f>
        <v>0</v>
      </c>
      <c r="N1189" s="48">
        <f>VLOOKUP($B1178,[11]Complaints!$A$4:$AJ$39,8,)</f>
        <v>1</v>
      </c>
      <c r="O1189" s="49">
        <f>VLOOKUP($B1178,[12]Complaints!$A$4:$AJ$39,8,)</f>
        <v>0</v>
      </c>
      <c r="P1189" s="55">
        <f t="shared" ref="P1189:P1190" si="313">SUM(D1189:O1189)</f>
        <v>2</v>
      </c>
      <c r="Q1189" s="50">
        <f>IF(P1189="","",P1189/$P1180)</f>
        <v>0.22222222222222221</v>
      </c>
      <c r="R1189" s="18"/>
    </row>
    <row r="1190" spans="2:18" ht="15.75" customHeight="1" x14ac:dyDescent="0.2">
      <c r="B1190" s="14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4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1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0</v>
      </c>
      <c r="P1191" s="55">
        <f>SUM(D1191:O1191)</f>
        <v>1</v>
      </c>
      <c r="Q1191" s="50">
        <f>IF(P1191=0,"",P1191/$P1180)</f>
        <v>0.1111111111111111</v>
      </c>
      <c r="R1191" s="18"/>
    </row>
    <row r="1192" spans="2:18" ht="15.75" customHeight="1" x14ac:dyDescent="0.2">
      <c r="B1192" s="14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4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1</v>
      </c>
      <c r="I1193" s="48">
        <f>VLOOKUP($B1178,[6]Complaints!$A$4:$AJ$39,12,)</f>
        <v>0</v>
      </c>
      <c r="J1193" s="48">
        <f>VLOOKUP($B1178,[7]Complaints!$A$4:$AJ$39,12,)</f>
        <v>1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2</v>
      </c>
      <c r="Q1193" s="50">
        <f>IF(P1193=0,"",P1193/$P1180)</f>
        <v>0.22222222222222221</v>
      </c>
    </row>
    <row r="1194" spans="2:18" ht="15.75" customHeight="1" x14ac:dyDescent="0.2">
      <c r="B1194" s="14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4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4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1</v>
      </c>
      <c r="I1196" s="48">
        <f>VLOOKUP($B1178,[6]Complaints!$A$4:$AJ$39,15,)</f>
        <v>0</v>
      </c>
      <c r="J1196" s="48">
        <f>VLOOKUP($B1178,[7]Complaints!$A$4:$AJ$39,15,)</f>
        <v>1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2</v>
      </c>
      <c r="Q1196" s="50">
        <f>IF(P1196=0,"",P1196/$P1180)</f>
        <v>0.22222222222222221</v>
      </c>
      <c r="R1196" s="18"/>
    </row>
    <row r="1197" spans="2:18" ht="15.75" customHeight="1" x14ac:dyDescent="0.2">
      <c r="B1197" s="14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4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4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4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5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1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0</v>
      </c>
      <c r="P1202" s="65">
        <f>SUM(D1202:O1202)</f>
        <v>1</v>
      </c>
      <c r="Q1202" s="46">
        <f>IF(P1202=0,"",P1202/$P1186)</f>
        <v>0.5</v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1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1</v>
      </c>
      <c r="Q1204" s="70">
        <f>IF(P1204=0,"",P1204/$P1186)</f>
        <v>0.5</v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0</v>
      </c>
      <c r="P1206" s="69">
        <f t="shared" si="315"/>
        <v>0</v>
      </c>
      <c r="Q1206" s="70" t="str">
        <f>IF(P1206=0,"",P1206/$P1186)</f>
        <v/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1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1</v>
      </c>
      <c r="Q1212" s="50">
        <f>IF(P1212=0,"",P1212/$P1186)</f>
        <v>0.5</v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1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1</v>
      </c>
      <c r="Q1215" s="70">
        <f>IF(P1215=0,"",P1215/$P1186)</f>
        <v>0.5</v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9" t="s">
        <v>35</v>
      </c>
      <c r="C1219" s="160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2" t="s">
        <v>104</v>
      </c>
      <c r="R1219" s="18"/>
    </row>
    <row r="1220" spans="2:18" ht="15.75" customHeight="1" thickBot="1" x14ac:dyDescent="0.3">
      <c r="B1220" s="151" t="s">
        <v>48</v>
      </c>
      <c r="C1220" s="152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3"/>
      <c r="R1220" s="18"/>
    </row>
    <row r="1221" spans="2:18" ht="12.75" customHeight="1" thickBot="1" x14ac:dyDescent="0.25">
      <c r="B1221" s="153" t="s">
        <v>38</v>
      </c>
      <c r="C1221" s="154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1370</v>
      </c>
      <c r="H1221" s="43">
        <f>VLOOKUP($B1220,[5]Complaints!$A$4:$AJ$39,2)</f>
        <v>1739</v>
      </c>
      <c r="I1221" s="43">
        <f>VLOOKUP($B1220,[6]Complaints!$A$4:$AJ$39,2)</f>
        <v>1786</v>
      </c>
      <c r="J1221" s="43">
        <f>VLOOKUP($B1220,[7]Complaints!$A$4:$AJ$39,2)</f>
        <v>1903</v>
      </c>
      <c r="K1221" s="43">
        <f>VLOOKUP($B1220,[8]Complaints!$A$4:$AJ$39,2)</f>
        <v>1903</v>
      </c>
      <c r="L1221" s="43">
        <f>VLOOKUP($B1220,[9]Complaints!$A$4:$AJ$39,2)</f>
        <v>1922</v>
      </c>
      <c r="M1221" s="43">
        <f>VLOOKUP($B1220,[10]Complaints!$A$4:$AJ$39,2)</f>
        <v>1525</v>
      </c>
      <c r="N1221" s="43">
        <f>VLOOKUP($B1220,[11]Complaints!$A$4:$AJ$39,2)</f>
        <v>1762</v>
      </c>
      <c r="O1221" s="44">
        <f>VLOOKUP($B1220,[12]Complaints!$A$4:$AJ$39,2)</f>
        <v>0</v>
      </c>
      <c r="P1221" s="45">
        <f>SUM(D1221:O1221)</f>
        <v>15512</v>
      </c>
      <c r="Q1221" s="46"/>
      <c r="R1221" s="18"/>
    </row>
    <row r="1222" spans="2:18" ht="15.75" customHeight="1" x14ac:dyDescent="0.2">
      <c r="B1222" s="155" t="s">
        <v>94</v>
      </c>
      <c r="C1222" s="156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2</v>
      </c>
      <c r="I1222" s="48">
        <f>VLOOKUP($B1220,[6]Complaints!$A$4:$AG$39,3,)</f>
        <v>0</v>
      </c>
      <c r="J1222" s="48">
        <f>VLOOKUP($B1220,[7]Complaints!$A$4:$AG$39,3,)</f>
        <v>3</v>
      </c>
      <c r="K1222" s="48">
        <f>VLOOKUP($B1220,[8]Complaints!$A$4:$AG$39,3,)</f>
        <v>3</v>
      </c>
      <c r="L1222" s="48">
        <f>VLOOKUP($B1220,[9]Complaints!$A$4:$AG$39,3,)</f>
        <v>4</v>
      </c>
      <c r="M1222" s="48">
        <f>VLOOKUP($B1220,[10]Complaints!$A$4:$AG$39,3,)</f>
        <v>2</v>
      </c>
      <c r="N1222" s="48">
        <f>VLOOKUP($B1220,[11]Complaints!$A$4:$AG$39,3,)</f>
        <v>2</v>
      </c>
      <c r="O1222" s="49">
        <f>VLOOKUP($B1220,[12]Complaints!$A$4:$AG$39,3,)</f>
        <v>0</v>
      </c>
      <c r="P1222" s="45">
        <f>SUM(D1222:O1222)</f>
        <v>17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>
        <f t="shared" si="316"/>
        <v>0</v>
      </c>
      <c r="H1223" s="52">
        <f t="shared" si="316"/>
        <v>1.1500862564692352E-3</v>
      </c>
      <c r="I1223" s="52">
        <f t="shared" si="316"/>
        <v>0</v>
      </c>
      <c r="J1223" s="52">
        <f t="shared" si="316"/>
        <v>1.5764582238570678E-3</v>
      </c>
      <c r="K1223" s="52">
        <f t="shared" si="316"/>
        <v>1.5764582238570678E-3</v>
      </c>
      <c r="L1223" s="52">
        <f t="shared" si="316"/>
        <v>2.0811654526534861E-3</v>
      </c>
      <c r="M1223" s="52">
        <f t="shared" si="316"/>
        <v>1.3114754098360656E-3</v>
      </c>
      <c r="N1223" s="52">
        <f t="shared" si="316"/>
        <v>1.1350737797956867E-3</v>
      </c>
      <c r="O1223" s="53" t="str">
        <f t="shared" si="316"/>
        <v/>
      </c>
      <c r="P1223" s="54">
        <f>IF(P1222="","",P1222/P1221)</f>
        <v>1.0959257349149045E-3</v>
      </c>
      <c r="Q1223" s="50"/>
      <c r="R1223" s="18"/>
    </row>
    <row r="1224" spans="2:18" s="21" customFormat="1" ht="15.75" customHeight="1" x14ac:dyDescent="0.2">
      <c r="B1224" s="157" t="s">
        <v>95</v>
      </c>
      <c r="C1224" s="158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1</v>
      </c>
      <c r="I1224" s="48">
        <f>VLOOKUP($B1220,[6]Complaints!$A$4:$AG$39,4,)</f>
        <v>0</v>
      </c>
      <c r="J1224" s="48">
        <f>VLOOKUP($B1220,[7]Complaints!$A$4:$AG$39,4,)</f>
        <v>2</v>
      </c>
      <c r="K1224" s="48">
        <f>VLOOKUP($B1220,[8]Complaints!$A$4:$AG$39,4,)</f>
        <v>2</v>
      </c>
      <c r="L1224" s="48">
        <f>VLOOKUP($B1220,[9]Complaints!$A$4:$AG$39,4,)</f>
        <v>1</v>
      </c>
      <c r="M1224" s="48">
        <f>VLOOKUP($B1220,[10]Complaints!$A$4:$AG$39,4,)</f>
        <v>2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8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>
        <f t="shared" si="318"/>
        <v>0</v>
      </c>
      <c r="H1225" s="52">
        <f t="shared" si="318"/>
        <v>5.750431282346176E-4</v>
      </c>
      <c r="I1225" s="52">
        <f t="shared" si="318"/>
        <v>0</v>
      </c>
      <c r="J1225" s="52">
        <f t="shared" si="318"/>
        <v>1.0509721492380452E-3</v>
      </c>
      <c r="K1225" s="52">
        <f t="shared" si="318"/>
        <v>1.0509721492380452E-3</v>
      </c>
      <c r="L1225" s="52">
        <f t="shared" si="318"/>
        <v>5.2029136316337154E-4</v>
      </c>
      <c r="M1225" s="52">
        <f t="shared" si="318"/>
        <v>1.3114754098360656E-3</v>
      </c>
      <c r="N1225" s="52">
        <f t="shared" si="318"/>
        <v>0</v>
      </c>
      <c r="O1225" s="53" t="str">
        <f t="shared" si="318"/>
        <v/>
      </c>
      <c r="P1225" s="54">
        <f>IF(P1224="","",P1224/P1221)</f>
        <v>5.1572975760701394E-4</v>
      </c>
      <c r="Q1225" s="50"/>
      <c r="R1225" s="18"/>
    </row>
    <row r="1226" spans="2:18" ht="15.75" customHeight="1" x14ac:dyDescent="0.2">
      <c r="B1226" s="157" t="s">
        <v>96</v>
      </c>
      <c r="C1226" s="158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1</v>
      </c>
      <c r="I1226" s="48">
        <f>VLOOKUP($B1220,[6]Complaints!$A$4:$AG$39,5,)</f>
        <v>0</v>
      </c>
      <c r="J1226" s="48">
        <f>VLOOKUP($B1220,[7]Complaints!$A$4:$AG$39,5,)</f>
        <v>1</v>
      </c>
      <c r="K1226" s="48">
        <f>VLOOKUP($B1220,[8]Complaints!$A$4:$AG$39,5,)</f>
        <v>1</v>
      </c>
      <c r="L1226" s="48">
        <f>VLOOKUP($B1220,[9]Complaints!$A$4:$AG$39,5,)</f>
        <v>3</v>
      </c>
      <c r="M1226" s="48">
        <f>VLOOKUP($B1220,[10]Complaints!$A$4:$AG$39,5,)</f>
        <v>0</v>
      </c>
      <c r="N1226" s="48">
        <f>VLOOKUP($B1220,[11]Complaints!$A$4:$AG$39,5,)</f>
        <v>2</v>
      </c>
      <c r="O1226" s="49">
        <f>VLOOKUP($B1220,[12]Complaints!$A$4:$AG$39,5,)</f>
        <v>0</v>
      </c>
      <c r="P1226" s="55">
        <f t="shared" ref="P1226" si="319">SUM(D1226:O1226)</f>
        <v>9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>
        <f t="shared" si="320"/>
        <v>0</v>
      </c>
      <c r="H1227" s="52">
        <f t="shared" si="320"/>
        <v>5.750431282346176E-4</v>
      </c>
      <c r="I1227" s="52">
        <f t="shared" si="320"/>
        <v>0</v>
      </c>
      <c r="J1227" s="52">
        <f t="shared" si="320"/>
        <v>5.2548607461902258E-4</v>
      </c>
      <c r="K1227" s="52">
        <f t="shared" si="320"/>
        <v>5.2548607461902258E-4</v>
      </c>
      <c r="L1227" s="52">
        <f t="shared" si="320"/>
        <v>1.5608740894901144E-3</v>
      </c>
      <c r="M1227" s="52">
        <f t="shared" si="320"/>
        <v>0</v>
      </c>
      <c r="N1227" s="52">
        <f t="shared" si="320"/>
        <v>1.1350737797956867E-3</v>
      </c>
      <c r="O1227" s="53" t="str">
        <f t="shared" si="320"/>
        <v/>
      </c>
      <c r="P1227" s="54">
        <f>IF(P1226="","",P1226/P1221)</f>
        <v>5.8019597730789069E-4</v>
      </c>
      <c r="Q1227" s="50"/>
      <c r="R1227" s="18"/>
    </row>
    <row r="1228" spans="2:18" ht="15.75" customHeight="1" x14ac:dyDescent="0.2">
      <c r="B1228" s="161" t="s">
        <v>97</v>
      </c>
      <c r="C1228" s="158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3</v>
      </c>
      <c r="K1228" s="48">
        <f>VLOOKUP($B1220,[8]Complaints!$A$4:$AG$39,6,)</f>
        <v>3</v>
      </c>
      <c r="L1228" s="48">
        <f>VLOOKUP($B1220,[9]Complaints!$A$4:$AG$39,6,)</f>
        <v>1</v>
      </c>
      <c r="M1228" s="48">
        <f>VLOOKUP($B1220,[10]Complaints!$A$4:$AG$39,6,)</f>
        <v>0</v>
      </c>
      <c r="N1228" s="48">
        <f>VLOOKUP($B1220,[11]Complaints!$A$4:$AG$39,6,)</f>
        <v>1</v>
      </c>
      <c r="O1228" s="49">
        <f>VLOOKUP($B1220,[12]Complaints!$A$4:$AG$39,6,)</f>
        <v>0</v>
      </c>
      <c r="P1228" s="55">
        <f t="shared" ref="P1228" si="321">SUM(D1228:O1228)</f>
        <v>9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>
        <f t="shared" ref="J1229:O1229" si="323">IF(J1228=0,"",J1228/J1226)</f>
        <v>3</v>
      </c>
      <c r="K1229" s="57">
        <f t="shared" si="323"/>
        <v>3</v>
      </c>
      <c r="L1229" s="57">
        <f t="shared" si="323"/>
        <v>0.33333333333333331</v>
      </c>
      <c r="M1229" s="57" t="str">
        <f t="shared" si="323"/>
        <v/>
      </c>
      <c r="N1229" s="57">
        <f t="shared" si="323"/>
        <v>0.5</v>
      </c>
      <c r="O1229" s="58" t="str">
        <f t="shared" si="323"/>
        <v/>
      </c>
      <c r="P1229" s="59">
        <f>IF(P1228=0,"",P1228/P1226)</f>
        <v>1</v>
      </c>
      <c r="Q1229" s="60"/>
      <c r="R1229" s="18"/>
    </row>
    <row r="1230" spans="2:18" ht="15.75" customHeight="1" x14ac:dyDescent="0.2">
      <c r="B1230" s="14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1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0</v>
      </c>
      <c r="P1230" s="45">
        <f>SUM(D1230:O1230)</f>
        <v>1</v>
      </c>
      <c r="Q1230" s="46">
        <f>IF(P1230=0,"",P1230/$P1222)</f>
        <v>5.8823529411764705E-2</v>
      </c>
      <c r="R1230" s="18"/>
    </row>
    <row r="1231" spans="2:18" ht="15.75" customHeight="1" x14ac:dyDescent="0.2">
      <c r="B1231" s="14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1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2</v>
      </c>
      <c r="M1231" s="48">
        <f>VLOOKUP($B1220,[10]Complaints!$A$4:$AJ$39,8,)</f>
        <v>0</v>
      </c>
      <c r="N1231" s="48">
        <f>VLOOKUP($B1220,[11]Complaints!$A$4:$AJ$39,8,)</f>
        <v>1</v>
      </c>
      <c r="O1231" s="49">
        <f>VLOOKUP($B1220,[12]Complaints!$A$4:$AJ$39,8,)</f>
        <v>0</v>
      </c>
      <c r="P1231" s="55">
        <f t="shared" ref="P1231:P1232" si="324">SUM(D1231:O1231)</f>
        <v>5</v>
      </c>
      <c r="Q1231" s="50">
        <f>IF(P1231="","",P1231/$P1222)</f>
        <v>0.29411764705882354</v>
      </c>
      <c r="R1231" s="18"/>
    </row>
    <row r="1232" spans="2:18" ht="15.75" customHeight="1" x14ac:dyDescent="0.2">
      <c r="B1232" s="14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4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1</v>
      </c>
      <c r="I1233" s="48">
        <f>VLOOKUP($B1220,[6]Complaints!$A$4:$AJ$39,10,)</f>
        <v>0</v>
      </c>
      <c r="J1233" s="48">
        <f>VLOOKUP($B1220,[7]Complaints!$A$4:$AJ$39,10,)</f>
        <v>1</v>
      </c>
      <c r="K1233" s="48">
        <f>VLOOKUP($B1220,[8]Complaints!$A$4:$AJ$39,10,)</f>
        <v>1</v>
      </c>
      <c r="L1233" s="48">
        <f>VLOOKUP($B1220,[9]Complaints!$A$4:$AJ$39,10,)</f>
        <v>1</v>
      </c>
      <c r="M1233" s="48">
        <f>VLOOKUP($B1220,[10]Complaints!$A$4:$AJ$39,10,)</f>
        <v>2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6</v>
      </c>
      <c r="Q1233" s="50">
        <f>IF(P1233=0,"",P1233/$P1222)</f>
        <v>0.35294117647058826</v>
      </c>
      <c r="R1233" s="18"/>
    </row>
    <row r="1234" spans="2:18" ht="15.75" customHeight="1" x14ac:dyDescent="0.2">
      <c r="B1234" s="14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1</v>
      </c>
      <c r="O1234" s="49">
        <f>VLOOKUP($B1220,[12]Complaints!$A$4:$AJ$39,11,)</f>
        <v>0</v>
      </c>
      <c r="P1234" s="55">
        <f t="shared" ref="P1234:P1243" si="325">SUM(D1234:O1234)</f>
        <v>1</v>
      </c>
      <c r="Q1234" s="50">
        <f>IF(P1234=0,"",P1234/$P1222)</f>
        <v>5.8823529411764705E-2</v>
      </c>
      <c r="R1234" s="18"/>
    </row>
    <row r="1235" spans="2:18" s="19" customFormat="1" ht="15.75" customHeight="1" x14ac:dyDescent="0.2">
      <c r="B1235" s="14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1</v>
      </c>
      <c r="K1235" s="48">
        <f>VLOOKUP($B1220,[8]Complaints!$A$4:$AJ$39,12,)</f>
        <v>0</v>
      </c>
      <c r="L1235" s="48">
        <f>VLOOKUP($B1220,[9]Complaints!$A$4:$AJ$39,12,)</f>
        <v>1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2</v>
      </c>
      <c r="Q1235" s="50">
        <f>IF(P1235=0,"",P1235/$P1222)</f>
        <v>0.11764705882352941</v>
      </c>
    </row>
    <row r="1236" spans="2:18" ht="15.75" customHeight="1" x14ac:dyDescent="0.2">
      <c r="B1236" s="14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4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4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4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4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4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4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5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3</v>
      </c>
      <c r="K1244" s="63">
        <f>VLOOKUP($B1220,[8]Complaints!$A$4:$AJ$39,21,)</f>
        <v>3</v>
      </c>
      <c r="L1244" s="63">
        <f>VLOOKUP($B1220,[9]Complaints!$A$4:$AJ$39,21,)</f>
        <v>1</v>
      </c>
      <c r="M1244" s="63">
        <f>VLOOKUP($B1220,[10]Complaints!$A$4:$AJ$39,21,)</f>
        <v>2</v>
      </c>
      <c r="N1244" s="63">
        <f>VLOOKUP($B1220,[11]Complaints!$A$4:$AJ$39,21,)</f>
        <v>1</v>
      </c>
      <c r="O1244" s="64">
        <f>VLOOKUP($B1220,[12]Complaints!$A$4:$AJ$39,21,)</f>
        <v>0</v>
      </c>
      <c r="P1244" s="65">
        <f>SUM(D1244:O1244)</f>
        <v>11</v>
      </c>
      <c r="Q1244" s="46">
        <f>IF(P1244=0,"",P1244/$P1228)</f>
        <v>1.2222222222222223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1</v>
      </c>
      <c r="K1245" s="67">
        <f>VLOOKUP($B1220,[8]Complaints!$A$4:$AJ$39,22,)</f>
        <v>1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2</v>
      </c>
      <c r="Q1245" s="70">
        <f>IF(P1245=0,"",P1245/$P1228)</f>
        <v>0.22222222222222221</v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0.1111111111111111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1</v>
      </c>
      <c r="K1248" s="67">
        <f>VLOOKUP($B1220,[8]Complaints!$A$4:$AJ$39,25,)</f>
        <v>1</v>
      </c>
      <c r="L1248" s="67">
        <f>VLOOKUP($B1220,[9]Complaints!$A$4:$AJ$39,25,)</f>
        <v>0</v>
      </c>
      <c r="M1248" s="67">
        <f>VLOOKUP($B1220,[10]Complaints!$A$4:$AJ$39,25,)</f>
        <v>1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3</v>
      </c>
      <c r="Q1248" s="70">
        <f>IF(P1248=0,"",P1248/$P1228)</f>
        <v>0.33333333333333331</v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1</v>
      </c>
      <c r="K1249" s="67">
        <f>VLOOKUP($B1220,[8]Complaints!$A$4:$AJ$39,26,)</f>
        <v>1</v>
      </c>
      <c r="L1249" s="67">
        <f>VLOOKUP($B1220,[9]Complaints!$A$4:$AJ$39,26,)</f>
        <v>0</v>
      </c>
      <c r="M1249" s="67">
        <f>VLOOKUP($B1220,[10]Complaints!$A$4:$AJ$39,26,)</f>
        <v>1</v>
      </c>
      <c r="N1249" s="67">
        <f>VLOOKUP($B1220,[11]Complaints!$A$4:$AJ$39,26,)</f>
        <v>0</v>
      </c>
      <c r="O1249" s="68">
        <f>VLOOKUP($B1220,[12]Complaints!$A$4:$AJ$39,26,)</f>
        <v>0</v>
      </c>
      <c r="P1249" s="69">
        <f t="shared" si="326"/>
        <v>3</v>
      </c>
      <c r="Q1249" s="70">
        <f>IF(P1249=0,"",P1249/$P1228)</f>
        <v>0.33333333333333331</v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1</v>
      </c>
      <c r="O1250" s="73">
        <f>VLOOKUP($B1220,[12]Complaints!$A$4:$AJ$39,27,)</f>
        <v>0</v>
      </c>
      <c r="P1250" s="69">
        <f t="shared" si="326"/>
        <v>1</v>
      </c>
      <c r="Q1250" s="70">
        <f>IF(P1250=0,"",P1250/$P1228)</f>
        <v>0.1111111111111111</v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1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1</v>
      </c>
      <c r="Q1251" s="70">
        <f>IF(P1251=0,"",P1251/$P1228)</f>
        <v>0.1111111111111111</v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9" t="s">
        <v>36</v>
      </c>
      <c r="C1261" s="160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2" t="s">
        <v>104</v>
      </c>
      <c r="R1261" s="18"/>
    </row>
    <row r="1262" spans="1:19" ht="15.75" customHeight="1" thickBot="1" x14ac:dyDescent="0.3">
      <c r="B1262" s="151" t="s">
        <v>47</v>
      </c>
      <c r="C1262" s="152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3"/>
      <c r="R1262" s="18"/>
    </row>
    <row r="1263" spans="1:19" ht="12.75" customHeight="1" thickBot="1" x14ac:dyDescent="0.25">
      <c r="B1263" s="153" t="s">
        <v>38</v>
      </c>
      <c r="C1263" s="154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447</v>
      </c>
      <c r="H1263" s="43">
        <f>VLOOKUP($B1262,[5]Complaints!$A$4:$AJ$39,2)</f>
        <v>544</v>
      </c>
      <c r="I1263" s="43">
        <f>VLOOKUP($B1262,[6]Complaints!$A$4:$AJ$39,2)</f>
        <v>625</v>
      </c>
      <c r="J1263" s="43">
        <f>VLOOKUP($B1262,[7]Complaints!$A$4:$AJ$39,2)</f>
        <v>576</v>
      </c>
      <c r="K1263" s="43">
        <f>VLOOKUP($B1262,[8]Complaints!$A$4:$AJ$39,2)</f>
        <v>576</v>
      </c>
      <c r="L1263" s="43">
        <f>VLOOKUP($B1262,[9]Complaints!$A$4:$AJ$39,2)</f>
        <v>596</v>
      </c>
      <c r="M1263" s="43">
        <f>VLOOKUP($B1262,[10]Complaints!$A$4:$AJ$39,2)</f>
        <v>436</v>
      </c>
      <c r="N1263" s="43">
        <f>VLOOKUP($B1262,[11]Complaints!$A$4:$AJ$39,2)</f>
        <v>447</v>
      </c>
      <c r="O1263" s="44">
        <f>VLOOKUP($B1262,[12]Complaints!$A$4:$AJ$39,2)</f>
        <v>0</v>
      </c>
      <c r="P1263" s="45">
        <f>SUM(D1263:O1263)</f>
        <v>5072</v>
      </c>
      <c r="Q1263" s="46"/>
      <c r="R1263" s="18"/>
    </row>
    <row r="1264" spans="1:19" ht="15.75" customHeight="1" x14ac:dyDescent="0.2">
      <c r="B1264" s="155" t="s">
        <v>94</v>
      </c>
      <c r="C1264" s="156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2</v>
      </c>
      <c r="H1264" s="48">
        <f>VLOOKUP($B1262,[5]Complaints!$A$4:$AG$39,3,)</f>
        <v>2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1</v>
      </c>
      <c r="N1264" s="48">
        <f>VLOOKUP($B1262,[11]Complaints!$A$4:$AG$39,3,)</f>
        <v>1</v>
      </c>
      <c r="O1264" s="49">
        <f>VLOOKUP($B1262,[12]Complaints!$A$4:$AG$39,3,)</f>
        <v>0</v>
      </c>
      <c r="P1264" s="45">
        <f>SUM(D1264:O1264)</f>
        <v>7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>
        <f t="shared" si="327"/>
        <v>4.4742729306487695E-3</v>
      </c>
      <c r="H1265" s="52">
        <f t="shared" si="327"/>
        <v>3.6764705882352941E-3</v>
      </c>
      <c r="I1265" s="52">
        <f t="shared" si="327"/>
        <v>0</v>
      </c>
      <c r="J1265" s="52">
        <f t="shared" si="327"/>
        <v>0</v>
      </c>
      <c r="K1265" s="52">
        <f t="shared" si="327"/>
        <v>0</v>
      </c>
      <c r="L1265" s="52">
        <f t="shared" si="327"/>
        <v>0</v>
      </c>
      <c r="M1265" s="52">
        <f t="shared" si="327"/>
        <v>2.2935779816513763E-3</v>
      </c>
      <c r="N1265" s="52">
        <f t="shared" si="327"/>
        <v>2.2371364653243847E-3</v>
      </c>
      <c r="O1265" s="53" t="str">
        <f t="shared" si="327"/>
        <v/>
      </c>
      <c r="P1265" s="54">
        <f>IF(P1264="","",P1264/P1263)</f>
        <v>1.3801261829652998E-3</v>
      </c>
      <c r="Q1265" s="50"/>
      <c r="R1265" s="18"/>
    </row>
    <row r="1266" spans="2:18" s="21" customFormat="1" ht="15.75" customHeight="1" x14ac:dyDescent="0.2">
      <c r="B1266" s="157" t="s">
        <v>95</v>
      </c>
      <c r="C1266" s="158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1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1</v>
      </c>
      <c r="O1266" s="49">
        <f>VLOOKUP($B1262,[12]Complaints!$A$4:$AG$39,4,)</f>
        <v>0</v>
      </c>
      <c r="P1266" s="55">
        <f t="shared" ref="P1266" si="328">SUM(D1266:O1266)</f>
        <v>1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>
        <f t="shared" si="329"/>
        <v>2.2371364653243847E-3</v>
      </c>
      <c r="H1267" s="52">
        <f t="shared" si="329"/>
        <v>0</v>
      </c>
      <c r="I1267" s="52">
        <f t="shared" si="329"/>
        <v>0</v>
      </c>
      <c r="J1267" s="52">
        <f t="shared" si="329"/>
        <v>0</v>
      </c>
      <c r="K1267" s="52">
        <f t="shared" si="329"/>
        <v>0</v>
      </c>
      <c r="L1267" s="52">
        <f t="shared" si="329"/>
        <v>0</v>
      </c>
      <c r="M1267" s="52">
        <f t="shared" si="329"/>
        <v>0</v>
      </c>
      <c r="N1267" s="52">
        <f t="shared" si="329"/>
        <v>2.2371364653243847E-3</v>
      </c>
      <c r="O1267" s="53" t="str">
        <f t="shared" si="329"/>
        <v/>
      </c>
      <c r="P1267" s="54">
        <f>IF(P1266="","",P1266/P1263)</f>
        <v>1.9716088328075709E-4</v>
      </c>
      <c r="Q1267" s="50"/>
      <c r="R1267" s="18"/>
    </row>
    <row r="1268" spans="2:18" ht="15.75" customHeight="1" x14ac:dyDescent="0.2">
      <c r="B1268" s="157" t="s">
        <v>96</v>
      </c>
      <c r="C1268" s="158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1</v>
      </c>
      <c r="H1268" s="48">
        <f>VLOOKUP($B1262,[5]Complaints!$A$4:$AG$39,5,)</f>
        <v>2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1</v>
      </c>
      <c r="N1268" s="48">
        <f>VLOOKUP($B1262,[11]Complaints!$A$4:$AG$39,5,)</f>
        <v>0</v>
      </c>
      <c r="O1268" s="49">
        <f>VLOOKUP($B1262,[12]Complaints!$A$4:$AG$39,5,)</f>
        <v>0</v>
      </c>
      <c r="P1268" s="55">
        <f t="shared" ref="P1268" si="330">SUM(D1268:O1268)</f>
        <v>6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>
        <f t="shared" si="331"/>
        <v>2.2371364653243847E-3</v>
      </c>
      <c r="H1269" s="52">
        <f t="shared" si="331"/>
        <v>3.6764705882352941E-3</v>
      </c>
      <c r="I1269" s="52">
        <f t="shared" si="331"/>
        <v>0</v>
      </c>
      <c r="J1269" s="52">
        <f t="shared" si="331"/>
        <v>0</v>
      </c>
      <c r="K1269" s="52">
        <f t="shared" si="331"/>
        <v>0</v>
      </c>
      <c r="L1269" s="52">
        <f t="shared" si="331"/>
        <v>0</v>
      </c>
      <c r="M1269" s="52">
        <f t="shared" si="331"/>
        <v>2.2935779816513763E-3</v>
      </c>
      <c r="N1269" s="52">
        <f t="shared" si="331"/>
        <v>0</v>
      </c>
      <c r="O1269" s="53" t="str">
        <f t="shared" si="331"/>
        <v/>
      </c>
      <c r="P1269" s="54">
        <f>IF(P1268="","",P1268/P1263)</f>
        <v>1.1829652996845426E-3</v>
      </c>
      <c r="Q1269" s="50"/>
      <c r="R1269" s="18"/>
    </row>
    <row r="1270" spans="2:18" ht="15.75" customHeight="1" x14ac:dyDescent="0.2">
      <c r="B1270" s="161" t="s">
        <v>97</v>
      </c>
      <c r="C1270" s="158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1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1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3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>
        <f t="shared" si="333"/>
        <v>0.5</v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>
        <f t="shared" si="334"/>
        <v>1</v>
      </c>
      <c r="N1271" s="57" t="str">
        <f t="shared" si="334"/>
        <v/>
      </c>
      <c r="O1271" s="58" t="str">
        <f t="shared" si="334"/>
        <v/>
      </c>
      <c r="P1271" s="59">
        <f>IF(P1270=0,"",P1270/P1268)</f>
        <v>0.5</v>
      </c>
      <c r="Q1271" s="60"/>
      <c r="R1271" s="18"/>
    </row>
    <row r="1272" spans="2:18" ht="15.75" customHeight="1" x14ac:dyDescent="0.2">
      <c r="B1272" s="14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4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1</v>
      </c>
      <c r="H1273" s="48">
        <f>VLOOKUP($B1262,[5]Complaints!$A$4:$AJ$39,8,)</f>
        <v>1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1</v>
      </c>
      <c r="N1273" s="48">
        <f>VLOOKUP($B1262,[11]Complaints!$A$4:$AJ$39,8,)</f>
        <v>0</v>
      </c>
      <c r="O1273" s="49">
        <f>VLOOKUP($B1262,[12]Complaints!$A$4:$AJ$39,8,)</f>
        <v>0</v>
      </c>
      <c r="P1273" s="55">
        <f t="shared" ref="P1273:P1274" si="335">SUM(D1273:O1273)</f>
        <v>4</v>
      </c>
      <c r="Q1273" s="50">
        <f>IF(P1273="","",P1273/$P1264)</f>
        <v>0.5714285714285714</v>
      </c>
      <c r="R1273" s="18"/>
    </row>
    <row r="1274" spans="2:18" ht="15.75" customHeight="1" x14ac:dyDescent="0.2">
      <c r="B1274" s="14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4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1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1</v>
      </c>
      <c r="O1275" s="49">
        <f>VLOOKUP($B1262,[12]Complaints!$A$4:$AJ$39,10,)</f>
        <v>0</v>
      </c>
      <c r="P1275" s="55">
        <f>SUM(D1275:O1275)</f>
        <v>2</v>
      </c>
      <c r="Q1275" s="50">
        <f>IF(P1275=0,"",P1275/$P1264)</f>
        <v>0.2857142857142857</v>
      </c>
      <c r="R1275" s="18"/>
    </row>
    <row r="1276" spans="2:18" ht="15.75" customHeight="1" x14ac:dyDescent="0.2">
      <c r="B1276" s="14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1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1</v>
      </c>
      <c r="Q1276" s="50">
        <f>IF(P1276=0,"",P1276/$P1264)</f>
        <v>0.14285714285714285</v>
      </c>
      <c r="R1276" s="18"/>
    </row>
    <row r="1277" spans="2:18" s="19" customFormat="1" ht="15.75" customHeight="1" x14ac:dyDescent="0.2">
      <c r="B1277" s="14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4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4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4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4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4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4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4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5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1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1</v>
      </c>
      <c r="N1286" s="63">
        <f>VLOOKUP($B1262,[11]Complaints!$A$4:$AJ$39,21,)</f>
        <v>1</v>
      </c>
      <c r="O1286" s="64">
        <f>VLOOKUP($B1262,[12]Complaints!$A$4:$AJ$39,21,)</f>
        <v>0</v>
      </c>
      <c r="P1286" s="65">
        <f>SUM(D1286:O1286)</f>
        <v>4</v>
      </c>
      <c r="Q1286" s="46">
        <f>IF(P1286=0,"",P1286/$P1270)</f>
        <v>1.3333333333333333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1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2</v>
      </c>
      <c r="Q1288" s="70">
        <f>IF(P1288=0,"",P1288/$P1270)</f>
        <v>0.66666666666666663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1</v>
      </c>
      <c r="O1291" s="68">
        <f>VLOOKUP($B1262,[12]Complaints!$A$4:$AJ$39,26,)</f>
        <v>0</v>
      </c>
      <c r="P1291" s="69">
        <f t="shared" si="337"/>
        <v>1</v>
      </c>
      <c r="Q1291" s="70">
        <f>IF(P1291=0,"",P1291/$P1270)</f>
        <v>0.33333333333333331</v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1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1</v>
      </c>
      <c r="Q1292" s="70">
        <f>IF(P1292=0,"",P1292/$P1270)</f>
        <v>0.33333333333333331</v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9" t="s">
        <v>37</v>
      </c>
      <c r="C1303" s="160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2" t="s">
        <v>104</v>
      </c>
      <c r="R1303" s="18"/>
    </row>
    <row r="1304" spans="2:18" ht="15.75" customHeight="1" thickBot="1" x14ac:dyDescent="0.3">
      <c r="B1304" s="151" t="s">
        <v>46</v>
      </c>
      <c r="C1304" s="152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3"/>
      <c r="R1304" s="18"/>
    </row>
    <row r="1305" spans="2:18" ht="12.75" customHeight="1" thickBot="1" x14ac:dyDescent="0.25">
      <c r="B1305" s="153" t="s">
        <v>38</v>
      </c>
      <c r="C1305" s="154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793</v>
      </c>
      <c r="H1305" s="43">
        <f>VLOOKUP($B1304,[5]Complaints!$A$4:$AJ$39,2)</f>
        <v>887</v>
      </c>
      <c r="I1305" s="43">
        <f>VLOOKUP($B1304,[6]Complaints!$A$4:$AJ$39,2)</f>
        <v>1101</v>
      </c>
      <c r="J1305" s="43">
        <f>VLOOKUP($B1304,[7]Complaints!$A$4:$AJ$39,2)</f>
        <v>902</v>
      </c>
      <c r="K1305" s="43">
        <f>VLOOKUP($B1304,[8]Complaints!$A$4:$AJ$39,2)</f>
        <v>902</v>
      </c>
      <c r="L1305" s="43">
        <f>VLOOKUP($B1304,[9]Complaints!$A$4:$AJ$39,2)</f>
        <v>918</v>
      </c>
      <c r="M1305" s="43">
        <f>VLOOKUP($B1304,[10]Complaints!$A$4:$AJ$39,2)</f>
        <v>655</v>
      </c>
      <c r="N1305" s="43">
        <f>VLOOKUP($B1304,[11]Complaints!$A$4:$AJ$39,2)</f>
        <v>651</v>
      </c>
      <c r="O1305" s="44">
        <f>VLOOKUP($B1304,[12]Complaints!$A$4:$AJ$39,2)</f>
        <v>0</v>
      </c>
      <c r="P1305" s="45">
        <f>SUM(D1305:O1305)</f>
        <v>8026</v>
      </c>
      <c r="Q1305" s="46"/>
      <c r="R1305" s="18"/>
    </row>
    <row r="1306" spans="2:18" ht="15.75" customHeight="1" x14ac:dyDescent="0.2">
      <c r="B1306" s="155" t="s">
        <v>94</v>
      </c>
      <c r="C1306" s="156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3</v>
      </c>
      <c r="H1306" s="48">
        <f>VLOOKUP($B1304,[5]Complaints!$A$4:$AG$39,3,)</f>
        <v>0</v>
      </c>
      <c r="I1306" s="48">
        <f>VLOOKUP($B1304,[6]Complaints!$A$4:$AG$39,3,)</f>
        <v>1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1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0</v>
      </c>
      <c r="P1306" s="45">
        <f>SUM(D1306:O1306)</f>
        <v>8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>
        <f t="shared" si="338"/>
        <v>3.7831021437578815E-3</v>
      </c>
      <c r="H1307" s="52">
        <f t="shared" si="338"/>
        <v>0</v>
      </c>
      <c r="I1307" s="52">
        <f t="shared" si="338"/>
        <v>9.0826521344232513E-4</v>
      </c>
      <c r="J1307" s="52">
        <f t="shared" si="338"/>
        <v>0</v>
      </c>
      <c r="K1307" s="52">
        <f t="shared" si="338"/>
        <v>0</v>
      </c>
      <c r="L1307" s="52">
        <f t="shared" si="338"/>
        <v>1.0893246187363835E-3</v>
      </c>
      <c r="M1307" s="52">
        <f t="shared" si="338"/>
        <v>0</v>
      </c>
      <c r="N1307" s="52">
        <f t="shared" si="338"/>
        <v>0</v>
      </c>
      <c r="O1307" s="53" t="str">
        <f t="shared" si="338"/>
        <v/>
      </c>
      <c r="P1307" s="54">
        <f>IF(P1306="","",P1306/P1305)</f>
        <v>9.9676052828308001E-4</v>
      </c>
      <c r="Q1307" s="50"/>
      <c r="R1307" s="18"/>
    </row>
    <row r="1308" spans="2:18" s="21" customFormat="1" ht="15.75" customHeight="1" x14ac:dyDescent="0.2">
      <c r="B1308" s="157" t="s">
        <v>95</v>
      </c>
      <c r="C1308" s="158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1</v>
      </c>
      <c r="H1308" s="48">
        <f>VLOOKUP($B1304,[5]Complaints!$A$4:$AG$39,4,)</f>
        <v>0</v>
      </c>
      <c r="I1308" s="48">
        <f>VLOOKUP($B1304,[6]Complaints!$A$4:$AG$39,4,)</f>
        <v>1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2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>
        <f t="shared" si="340"/>
        <v>1.2610340479192938E-3</v>
      </c>
      <c r="H1309" s="52">
        <f t="shared" si="340"/>
        <v>0</v>
      </c>
      <c r="I1309" s="52">
        <f t="shared" si="340"/>
        <v>9.0826521344232513E-4</v>
      </c>
      <c r="J1309" s="52">
        <f t="shared" si="340"/>
        <v>0</v>
      </c>
      <c r="K1309" s="52">
        <f t="shared" si="340"/>
        <v>0</v>
      </c>
      <c r="L1309" s="52">
        <f t="shared" si="340"/>
        <v>0</v>
      </c>
      <c r="M1309" s="52">
        <f t="shared" si="340"/>
        <v>0</v>
      </c>
      <c r="N1309" s="52">
        <f t="shared" si="340"/>
        <v>0</v>
      </c>
      <c r="O1309" s="53" t="str">
        <f t="shared" si="340"/>
        <v/>
      </c>
      <c r="P1309" s="54">
        <f>IF(P1308="","",P1308/P1305)</f>
        <v>2.4919013207077E-4</v>
      </c>
      <c r="Q1309" s="50"/>
      <c r="R1309" s="18"/>
    </row>
    <row r="1310" spans="2:18" ht="15.75" customHeight="1" x14ac:dyDescent="0.2">
      <c r="B1310" s="157" t="s">
        <v>96</v>
      </c>
      <c r="C1310" s="158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2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1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0</v>
      </c>
      <c r="P1310" s="55">
        <f t="shared" ref="P1310" si="341">SUM(D1310:O1310)</f>
        <v>6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>
        <f t="shared" si="342"/>
        <v>2.5220680958385876E-3</v>
      </c>
      <c r="H1311" s="52">
        <f t="shared" si="342"/>
        <v>0</v>
      </c>
      <c r="I1311" s="52">
        <f t="shared" si="342"/>
        <v>0</v>
      </c>
      <c r="J1311" s="52">
        <f t="shared" si="342"/>
        <v>0</v>
      </c>
      <c r="K1311" s="52">
        <f t="shared" si="342"/>
        <v>0</v>
      </c>
      <c r="L1311" s="52">
        <f t="shared" si="342"/>
        <v>1.0893246187363835E-3</v>
      </c>
      <c r="M1311" s="52">
        <f t="shared" si="342"/>
        <v>0</v>
      </c>
      <c r="N1311" s="52">
        <f t="shared" si="342"/>
        <v>0</v>
      </c>
      <c r="O1311" s="53" t="str">
        <f t="shared" si="342"/>
        <v/>
      </c>
      <c r="P1311" s="54">
        <f>IF(P1310="","",P1310/P1305)</f>
        <v>7.4757039621230995E-4</v>
      </c>
      <c r="Q1311" s="50"/>
      <c r="R1311" s="18"/>
    </row>
    <row r="1312" spans="2:18" ht="15.75" customHeight="1" x14ac:dyDescent="0.2">
      <c r="B1312" s="161" t="s">
        <v>97</v>
      </c>
      <c r="C1312" s="158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3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1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0</v>
      </c>
      <c r="P1312" s="55">
        <f t="shared" ref="P1312" si="343">SUM(D1312:O1312)</f>
        <v>6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>
        <f t="shared" si="344"/>
        <v>1.5</v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>
        <f t="shared" si="345"/>
        <v>1</v>
      </c>
      <c r="M1313" s="57" t="str">
        <f t="shared" si="345"/>
        <v/>
      </c>
      <c r="N1313" s="57" t="str">
        <f t="shared" si="345"/>
        <v/>
      </c>
      <c r="O1313" s="58" t="str">
        <f t="shared" si="345"/>
        <v/>
      </c>
      <c r="P1313" s="59">
        <f>IF(P1312=0,"",P1312/P1310)</f>
        <v>1</v>
      </c>
      <c r="Q1313" s="60"/>
      <c r="R1313" s="18"/>
    </row>
    <row r="1314" spans="2:18" ht="15.75" customHeight="1" x14ac:dyDescent="0.2">
      <c r="B1314" s="14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1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1</v>
      </c>
      <c r="Q1314" s="46">
        <f>IF(P1314=0,"",P1314/$P1306)</f>
        <v>0.125</v>
      </c>
      <c r="R1314" s="18"/>
    </row>
    <row r="1315" spans="2:18" ht="15.75" customHeight="1" x14ac:dyDescent="0.2">
      <c r="B1315" s="14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2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1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4</v>
      </c>
      <c r="Q1315" s="50">
        <f>IF(P1315="","",P1315/$P1306)</f>
        <v>0.5</v>
      </c>
      <c r="R1315" s="18"/>
    </row>
    <row r="1316" spans="2:18" ht="15.75" customHeight="1" x14ac:dyDescent="0.2">
      <c r="B1316" s="14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4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1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1</v>
      </c>
      <c r="Q1317" s="50">
        <f>IF(P1317=0,"",P1317/$P1306)</f>
        <v>0.125</v>
      </c>
      <c r="R1317" s="18"/>
    </row>
    <row r="1318" spans="2:18" ht="15.75" customHeight="1" x14ac:dyDescent="0.2">
      <c r="B1318" s="14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0</v>
      </c>
      <c r="P1318" s="55">
        <f t="shared" ref="P1318:P1327" si="347">SUM(D1318:O1318)</f>
        <v>1</v>
      </c>
      <c r="Q1318" s="50">
        <f>IF(P1318=0,"",P1318/$P1306)</f>
        <v>0.125</v>
      </c>
      <c r="R1318" s="18"/>
    </row>
    <row r="1319" spans="2:18" s="19" customFormat="1" ht="15.75" customHeight="1" x14ac:dyDescent="0.2">
      <c r="B1319" s="14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4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4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4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0.125</v>
      </c>
      <c r="R1322" s="18"/>
    </row>
    <row r="1323" spans="2:18" ht="15.75" customHeight="1" x14ac:dyDescent="0.2">
      <c r="B1323" s="14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4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4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4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5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3</v>
      </c>
      <c r="H1328" s="63">
        <f>VLOOKUP($B1304,[5]Complaints!$A$4:$AJ$39,21,)</f>
        <v>0</v>
      </c>
      <c r="I1328" s="63">
        <f>VLOOKUP($B1304,[6]Complaints!$A$4:$AJ$39,21,)</f>
        <v>1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1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0</v>
      </c>
      <c r="P1328" s="65">
        <f>SUM(D1328:O1328)</f>
        <v>7</v>
      </c>
      <c r="Q1328" s="46">
        <f>IF(P1328=0,"",P1328/$P1312)</f>
        <v>1.1666666666666667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1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1</v>
      </c>
      <c r="Q1329" s="70">
        <f>IF(P1329=0,"",P1329/$P1312)</f>
        <v>0.16666666666666666</v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2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1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4</v>
      </c>
      <c r="Q1330" s="70">
        <f>IF(P1330=0,"",P1330/$P1312)</f>
        <v>0.66666666666666663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1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1</v>
      </c>
      <c r="Q1333" s="70">
        <f>IF(P1333=0,"",P1333/$P1312)</f>
        <v>0.16666666666666666</v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0</v>
      </c>
      <c r="P1334" s="69">
        <f t="shared" si="348"/>
        <v>1</v>
      </c>
      <c r="Q1334" s="70">
        <f>IF(P1334=0,"",P1334/$P1312)</f>
        <v>0.16666666666666666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9" t="s">
        <v>85</v>
      </c>
      <c r="C1345" s="160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2" t="s">
        <v>104</v>
      </c>
      <c r="R1345" s="18"/>
    </row>
    <row r="1346" spans="2:18" ht="15.75" customHeight="1" thickBot="1" x14ac:dyDescent="0.3">
      <c r="B1346" s="151" t="s">
        <v>86</v>
      </c>
      <c r="C1346" s="152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3"/>
      <c r="R1346" s="18"/>
    </row>
    <row r="1347" spans="2:18" ht="12.75" customHeight="1" thickBot="1" x14ac:dyDescent="0.25">
      <c r="B1347" s="153" t="s">
        <v>38</v>
      </c>
      <c r="C1347" s="154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1509</v>
      </c>
      <c r="H1347" s="43">
        <f>VLOOKUP($B1346,[5]Complaints!$A$4:$AJ$39,2)</f>
        <v>1667</v>
      </c>
      <c r="I1347" s="43">
        <f>VLOOKUP($B1346,[6]Complaints!$A$4:$AJ$39,2)</f>
        <v>1791</v>
      </c>
      <c r="J1347" s="43">
        <f>VLOOKUP($B1346,[7]Complaints!$A$4:$AJ$39,2)</f>
        <v>1940</v>
      </c>
      <c r="K1347" s="43">
        <f>VLOOKUP($B1346,[8]Complaints!$A$4:$AJ$39,2)</f>
        <v>1940</v>
      </c>
      <c r="L1347" s="43">
        <f>VLOOKUP($B1346,[9]Complaints!$A$4:$AJ$39,2)</f>
        <v>1681</v>
      </c>
      <c r="M1347" s="43">
        <f>VLOOKUP($B1346,[10]Complaints!$A$4:$AJ$39,2)</f>
        <v>1195</v>
      </c>
      <c r="N1347" s="43">
        <f>VLOOKUP($B1346,[11]Complaints!$A$4:$AJ$39,2)</f>
        <v>1328</v>
      </c>
      <c r="O1347" s="44">
        <f>VLOOKUP($B1346,[12]Complaints!$A$4:$AJ$39,2)</f>
        <v>0</v>
      </c>
      <c r="P1347" s="45">
        <f>SUM(D1347:O1347)</f>
        <v>14929</v>
      </c>
      <c r="Q1347" s="46"/>
      <c r="R1347" s="18"/>
    </row>
    <row r="1348" spans="2:18" ht="15.75" customHeight="1" x14ac:dyDescent="0.2">
      <c r="B1348" s="155" t="s">
        <v>94</v>
      </c>
      <c r="C1348" s="156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1</v>
      </c>
      <c r="I1348" s="48">
        <f>VLOOKUP($B1346,[6]Complaints!$A$4:$AG$39,3,)</f>
        <v>4</v>
      </c>
      <c r="J1348" s="48">
        <f>VLOOKUP($B1346,[7]Complaints!$A$4:$AG$39,3,)</f>
        <v>3</v>
      </c>
      <c r="K1348" s="48">
        <f>VLOOKUP($B1346,[8]Complaints!$A$4:$AG$39,3,)</f>
        <v>3</v>
      </c>
      <c r="L1348" s="48">
        <f>VLOOKUP($B1346,[9]Complaints!$A$4:$AG$39,3,)</f>
        <v>0</v>
      </c>
      <c r="M1348" s="48">
        <f>VLOOKUP($B1346,[10]Complaints!$A$4:$AG$39,3,)</f>
        <v>2</v>
      </c>
      <c r="N1348" s="48">
        <f>VLOOKUP($B1346,[11]Complaints!$A$4:$AG$39,3,)</f>
        <v>2</v>
      </c>
      <c r="O1348" s="49">
        <f>VLOOKUP($B1346,[12]Complaints!$A$4:$AG$39,3,)</f>
        <v>0</v>
      </c>
      <c r="P1348" s="45">
        <f>SUM(D1348:O1348)</f>
        <v>16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>
        <f t="shared" si="349"/>
        <v>0</v>
      </c>
      <c r="H1349" s="52">
        <f t="shared" si="349"/>
        <v>5.9988002399520091E-4</v>
      </c>
      <c r="I1349" s="52">
        <f t="shared" si="349"/>
        <v>2.2333891680625349E-3</v>
      </c>
      <c r="J1349" s="52">
        <f t="shared" si="349"/>
        <v>1.5463917525773195E-3</v>
      </c>
      <c r="K1349" s="52">
        <f t="shared" si="349"/>
        <v>1.5463917525773195E-3</v>
      </c>
      <c r="L1349" s="52">
        <f t="shared" si="349"/>
        <v>0</v>
      </c>
      <c r="M1349" s="52">
        <f t="shared" si="349"/>
        <v>1.6736401673640166E-3</v>
      </c>
      <c r="N1349" s="52">
        <f t="shared" si="349"/>
        <v>1.5060240963855422E-3</v>
      </c>
      <c r="O1349" s="53" t="str">
        <f t="shared" si="349"/>
        <v/>
      </c>
      <c r="P1349" s="54">
        <f>IF(P1348="","",P1348/P1347)</f>
        <v>1.0717395672851498E-3</v>
      </c>
      <c r="Q1349" s="50"/>
      <c r="R1349" s="18"/>
    </row>
    <row r="1350" spans="2:18" s="21" customFormat="1" ht="15.75" customHeight="1" x14ac:dyDescent="0.2">
      <c r="B1350" s="157" t="s">
        <v>95</v>
      </c>
      <c r="C1350" s="158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1</v>
      </c>
      <c r="N1350" s="48">
        <f>VLOOKUP($B1346,[11]Complaints!$A$4:$AG$39,4,)</f>
        <v>0</v>
      </c>
      <c r="O1350" s="49">
        <f>VLOOKUP($B1346,[12]Complaints!$A$4:$AG$39,4,)</f>
        <v>0</v>
      </c>
      <c r="P1350" s="55">
        <f t="shared" ref="P1350" si="350">SUM(D1350:O1350)</f>
        <v>1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>
        <f t="shared" si="351"/>
        <v>0</v>
      </c>
      <c r="H1351" s="52">
        <f t="shared" si="351"/>
        <v>0</v>
      </c>
      <c r="I1351" s="52">
        <f t="shared" si="351"/>
        <v>0</v>
      </c>
      <c r="J1351" s="52">
        <f t="shared" si="351"/>
        <v>0</v>
      </c>
      <c r="K1351" s="52">
        <f t="shared" si="351"/>
        <v>0</v>
      </c>
      <c r="L1351" s="52">
        <f t="shared" si="351"/>
        <v>0</v>
      </c>
      <c r="M1351" s="52">
        <f t="shared" si="351"/>
        <v>8.3682008368200832E-4</v>
      </c>
      <c r="N1351" s="52">
        <f t="shared" si="351"/>
        <v>0</v>
      </c>
      <c r="O1351" s="53" t="str">
        <f t="shared" si="351"/>
        <v/>
      </c>
      <c r="P1351" s="54">
        <f>IF(P1350="","",P1350/P1347)</f>
        <v>6.6983722955321861E-5</v>
      </c>
      <c r="Q1351" s="50"/>
      <c r="R1351" s="18"/>
    </row>
    <row r="1352" spans="2:18" ht="15.75" customHeight="1" x14ac:dyDescent="0.2">
      <c r="B1352" s="157" t="s">
        <v>96</v>
      </c>
      <c r="C1352" s="158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1</v>
      </c>
      <c r="I1352" s="48">
        <f>VLOOKUP($B1346,[6]Complaints!$A$4:$AG$39,5,)</f>
        <v>4</v>
      </c>
      <c r="J1352" s="48">
        <f>VLOOKUP($B1346,[7]Complaints!$A$4:$AG$39,5,)</f>
        <v>3</v>
      </c>
      <c r="K1352" s="48">
        <f>VLOOKUP($B1346,[8]Complaints!$A$4:$AG$39,5,)</f>
        <v>3</v>
      </c>
      <c r="L1352" s="48">
        <f>VLOOKUP($B1346,[9]Complaints!$A$4:$AG$39,5,)</f>
        <v>0</v>
      </c>
      <c r="M1352" s="48">
        <f>VLOOKUP($B1346,[10]Complaints!$A$4:$AG$39,5,)</f>
        <v>1</v>
      </c>
      <c r="N1352" s="48">
        <f>VLOOKUP($B1346,[11]Complaints!$A$4:$AG$39,5,)</f>
        <v>2</v>
      </c>
      <c r="O1352" s="49">
        <f>VLOOKUP($B1346,[12]Complaints!$A$4:$AG$39,5,)</f>
        <v>0</v>
      </c>
      <c r="P1352" s="55">
        <f t="shared" ref="P1352" si="352">SUM(D1352:O1352)</f>
        <v>15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>
        <f t="shared" si="353"/>
        <v>0</v>
      </c>
      <c r="H1353" s="52">
        <f t="shared" si="353"/>
        <v>5.9988002399520091E-4</v>
      </c>
      <c r="I1353" s="52">
        <f t="shared" si="353"/>
        <v>2.2333891680625349E-3</v>
      </c>
      <c r="J1353" s="52">
        <f t="shared" si="353"/>
        <v>1.5463917525773195E-3</v>
      </c>
      <c r="K1353" s="52">
        <f t="shared" si="353"/>
        <v>1.5463917525773195E-3</v>
      </c>
      <c r="L1353" s="52">
        <f t="shared" si="353"/>
        <v>0</v>
      </c>
      <c r="M1353" s="52">
        <f t="shared" si="353"/>
        <v>8.3682008368200832E-4</v>
      </c>
      <c r="N1353" s="52">
        <f t="shared" si="353"/>
        <v>1.5060240963855422E-3</v>
      </c>
      <c r="O1353" s="53" t="str">
        <f t="shared" si="353"/>
        <v/>
      </c>
      <c r="P1353" s="54">
        <f>IF(P1352="","",P1352/P1347)</f>
        <v>1.0047558443298278E-3</v>
      </c>
      <c r="Q1353" s="50"/>
      <c r="R1353" s="18"/>
    </row>
    <row r="1354" spans="2:18" ht="15.75" customHeight="1" x14ac:dyDescent="0.2">
      <c r="B1354" s="161" t="s">
        <v>97</v>
      </c>
      <c r="C1354" s="158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1</v>
      </c>
      <c r="J1354" s="48">
        <f>VLOOKUP($B1346,[7]Complaints!$A$4:$AG$39,6,)</f>
        <v>1</v>
      </c>
      <c r="K1354" s="48">
        <f>VLOOKUP($B1346,[8]Complaints!$A$4:$AG$39,6,)</f>
        <v>1</v>
      </c>
      <c r="L1354" s="48">
        <f>VLOOKUP($B1346,[9]Complaints!$A$4:$AG$39,6,)</f>
        <v>0</v>
      </c>
      <c r="M1354" s="48">
        <f>VLOOKUP($B1346,[10]Complaints!$A$4:$AG$39,6,)</f>
        <v>1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5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>
        <f>IF(I1354=0,"",I1354/I1352)</f>
        <v>0.25</v>
      </c>
      <c r="J1355" s="57">
        <f t="shared" ref="J1355:O1355" si="356">IF(J1354=0,"",J1354/J1352)</f>
        <v>0.33333333333333331</v>
      </c>
      <c r="K1355" s="57">
        <f t="shared" si="356"/>
        <v>0.33333333333333331</v>
      </c>
      <c r="L1355" s="57" t="str">
        <f t="shared" si="356"/>
        <v/>
      </c>
      <c r="M1355" s="57">
        <f t="shared" si="356"/>
        <v>1</v>
      </c>
      <c r="N1355" s="57" t="str">
        <f t="shared" si="356"/>
        <v/>
      </c>
      <c r="O1355" s="58" t="str">
        <f t="shared" si="356"/>
        <v/>
      </c>
      <c r="P1355" s="59">
        <f>IF(P1354=0,"",P1354/P1352)</f>
        <v>0.33333333333333331</v>
      </c>
      <c r="Q1355" s="60"/>
      <c r="R1355" s="18"/>
    </row>
    <row r="1356" spans="2:18" ht="15.75" customHeight="1" x14ac:dyDescent="0.2">
      <c r="B1356" s="14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4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1</v>
      </c>
      <c r="I1357" s="48">
        <f>VLOOKUP($B1346,[6]Complaints!$A$4:$AJ$39,8,)</f>
        <v>3</v>
      </c>
      <c r="J1357" s="48">
        <f>VLOOKUP($B1346,[7]Complaints!$A$4:$AJ$39,8,)</f>
        <v>1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2</v>
      </c>
      <c r="O1357" s="49">
        <f>VLOOKUP($B1346,[12]Complaints!$A$4:$AJ$39,8,)</f>
        <v>0</v>
      </c>
      <c r="P1357" s="55">
        <f t="shared" ref="P1357:P1358" si="357">SUM(D1357:O1357)</f>
        <v>8</v>
      </c>
      <c r="Q1357" s="50">
        <f>IF(P1357="","",P1357/$P1348)</f>
        <v>0.5</v>
      </c>
      <c r="R1357" s="18"/>
    </row>
    <row r="1358" spans="2:18" ht="15.75" customHeight="1" x14ac:dyDescent="0.2">
      <c r="B1358" s="14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4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1</v>
      </c>
      <c r="L1359" s="48">
        <f>VLOOKUP($B1346,[9]Complaints!$A$4:$AJ$39,10,)</f>
        <v>0</v>
      </c>
      <c r="M1359" s="48">
        <f>VLOOKUP($B1346,[10]Complaints!$A$4:$AJ$39,10,)</f>
        <v>1</v>
      </c>
      <c r="N1359" s="48">
        <f>VLOOKUP($B1346,[11]Complaints!$A$4:$AJ$39,10,)</f>
        <v>0</v>
      </c>
      <c r="O1359" s="49">
        <f>VLOOKUP($B1346,[12]Complaints!$A$4:$AJ$39,10,)</f>
        <v>0</v>
      </c>
      <c r="P1359" s="55">
        <f>SUM(D1359:O1359)</f>
        <v>2</v>
      </c>
      <c r="Q1359" s="50">
        <f>IF(P1359=0,"",P1359/$P1348)</f>
        <v>0.125</v>
      </c>
      <c r="R1359" s="18"/>
    </row>
    <row r="1360" spans="2:18" ht="15.75" customHeight="1" x14ac:dyDescent="0.2">
      <c r="B1360" s="14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2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2</v>
      </c>
      <c r="Q1360" s="50">
        <f>IF(P1360=0,"",P1360/$P1348)</f>
        <v>0.125</v>
      </c>
      <c r="R1360" s="18"/>
    </row>
    <row r="1361" spans="1:19" s="19" customFormat="1" ht="15.75" customHeight="1" x14ac:dyDescent="0.2">
      <c r="B1361" s="14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1</v>
      </c>
      <c r="L1361" s="48">
        <f>VLOOKUP($B1346,[9]Complaints!$A$4:$AJ$39,12,)</f>
        <v>0</v>
      </c>
      <c r="M1361" s="48">
        <f>VLOOKUP($B1346,[10]Complaints!$A$4:$AJ$39,12,)</f>
        <v>1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2</v>
      </c>
      <c r="Q1361" s="50">
        <f>IF(P1361=0,"",P1361/$P1348)</f>
        <v>0.125</v>
      </c>
    </row>
    <row r="1362" spans="1:19" ht="15.75" customHeight="1" x14ac:dyDescent="0.2">
      <c r="B1362" s="14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1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1</v>
      </c>
      <c r="Q1362" s="50">
        <f>IF(P1362=0,"",P1362/$P1348)</f>
        <v>6.25E-2</v>
      </c>
      <c r="R1362" s="18"/>
    </row>
    <row r="1363" spans="1:19" ht="15.75" customHeight="1" x14ac:dyDescent="0.2">
      <c r="B1363" s="14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4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4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4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4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4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5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1</v>
      </c>
      <c r="J1370" s="63">
        <f>VLOOKUP($B1346,[7]Complaints!$A$4:$AJ$39,21,)</f>
        <v>1</v>
      </c>
      <c r="K1370" s="63">
        <f>VLOOKUP($B1346,[8]Complaints!$A$4:$AJ$39,21,)</f>
        <v>1</v>
      </c>
      <c r="L1370" s="63">
        <f>VLOOKUP($B1346,[9]Complaints!$A$4:$AJ$39,21,)</f>
        <v>0</v>
      </c>
      <c r="M1370" s="63">
        <f>VLOOKUP($B1346,[10]Complaints!$A$4:$AJ$39,21,)</f>
        <v>1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5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1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1</v>
      </c>
      <c r="Q1372" s="70">
        <f>IF(P1372=0,"",P1372/$P1354)</f>
        <v>0.2</v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0.2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1</v>
      </c>
      <c r="K1376" s="72">
        <f>VLOOKUP($B1346,[8]Complaints!$A$4:$AJ$39,27,)</f>
        <v>1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2</v>
      </c>
      <c r="Q1376" s="70">
        <f>IF(P1376=0,"",P1376/$P1354)</f>
        <v>0.4</v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1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1</v>
      </c>
      <c r="Q1377" s="70">
        <f>IF(P1377=0,"",P1377/$P1354)</f>
        <v>0.2</v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80" t="s">
        <v>121</v>
      </c>
      <c r="C1387" s="180"/>
      <c r="D1387" s="180"/>
      <c r="E1387" s="180"/>
      <c r="F1387" s="180"/>
      <c r="G1387" s="180"/>
      <c r="H1387" s="180"/>
      <c r="I1387" s="180"/>
      <c r="J1387" s="180"/>
      <c r="K1387" s="180"/>
      <c r="L1387" s="180"/>
      <c r="M1387" s="180"/>
      <c r="N1387" s="180"/>
      <c r="O1387" s="180"/>
      <c r="P1387" s="180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8" t="s">
        <v>105</v>
      </c>
      <c r="C1389" s="179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81" t="s">
        <v>104</v>
      </c>
      <c r="R1389" s="18"/>
    </row>
    <row r="1390" spans="2:18" ht="15.75" customHeight="1" thickBot="1" x14ac:dyDescent="0.3">
      <c r="B1390" s="183" t="s">
        <v>106</v>
      </c>
      <c r="C1390" s="184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82"/>
      <c r="R1390" s="18"/>
    </row>
    <row r="1391" spans="2:18" ht="15.75" customHeight="1" thickBot="1" x14ac:dyDescent="0.3">
      <c r="B1391" s="164" t="s">
        <v>38</v>
      </c>
      <c r="C1391" s="165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36090</v>
      </c>
      <c r="H1391" s="94">
        <f t="shared" si="360"/>
        <v>42955</v>
      </c>
      <c r="I1391" s="94">
        <f t="shared" si="360"/>
        <v>48410</v>
      </c>
      <c r="J1391" s="94">
        <f t="shared" si="360"/>
        <v>47897</v>
      </c>
      <c r="K1391" s="94">
        <f>K1347+K1305+K1263+K1221+K1179+K1137+K1095+K1053+K1011+K969+K927+K885+K843+K801+K759+K717+K675+K633+K591+K549+K507+K465+K423+K381+K339+K297+K255+K213+K171+K129+K87+K45+K3</f>
        <v>47897</v>
      </c>
      <c r="L1391" s="94">
        <f t="shared" si="360"/>
        <v>43868</v>
      </c>
      <c r="M1391" s="94">
        <f t="shared" si="360"/>
        <v>31744</v>
      </c>
      <c r="N1391" s="94">
        <f t="shared" si="360"/>
        <v>33504</v>
      </c>
      <c r="O1391" s="94">
        <f t="shared" si="360"/>
        <v>0</v>
      </c>
      <c r="P1391" s="95">
        <f>SUM(D1391:O1391)</f>
        <v>380549</v>
      </c>
      <c r="Q1391" s="96"/>
      <c r="R1391" s="18"/>
    </row>
    <row r="1392" spans="2:18" ht="15.75" customHeight="1" x14ac:dyDescent="0.25">
      <c r="B1392" s="166" t="s">
        <v>94</v>
      </c>
      <c r="C1392" s="167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31</v>
      </c>
      <c r="H1392" s="94">
        <f t="shared" si="361"/>
        <v>36</v>
      </c>
      <c r="I1392" s="94">
        <f t="shared" si="361"/>
        <v>43</v>
      </c>
      <c r="J1392" s="94">
        <f t="shared" si="361"/>
        <v>46</v>
      </c>
      <c r="K1392" s="94">
        <f t="shared" si="361"/>
        <v>46</v>
      </c>
      <c r="L1392" s="94">
        <f t="shared" si="361"/>
        <v>31</v>
      </c>
      <c r="M1392" s="94">
        <f t="shared" si="361"/>
        <v>24</v>
      </c>
      <c r="N1392" s="94">
        <f t="shared" si="361"/>
        <v>29</v>
      </c>
      <c r="O1392" s="94">
        <f t="shared" si="361"/>
        <v>0</v>
      </c>
      <c r="P1392" s="95">
        <f>SUM(D1392:O1392)</f>
        <v>331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>
        <f t="shared" si="362"/>
        <v>8.5896370185646988E-4</v>
      </c>
      <c r="H1393" s="100">
        <f>IF(H1392=0,"",H1392/H1391)</f>
        <v>8.3808636945640789E-4</v>
      </c>
      <c r="I1393" s="100">
        <f t="shared" si="362"/>
        <v>8.8824623011774428E-4</v>
      </c>
      <c r="J1393" s="100">
        <f t="shared" si="362"/>
        <v>9.6039417917614879E-4</v>
      </c>
      <c r="K1393" s="100">
        <f t="shared" si="362"/>
        <v>9.6039417917614879E-4</v>
      </c>
      <c r="L1393" s="100">
        <f t="shared" si="362"/>
        <v>7.0666545089814899E-4</v>
      </c>
      <c r="M1393" s="100">
        <f t="shared" si="362"/>
        <v>7.5604838709677417E-4</v>
      </c>
      <c r="N1393" s="100">
        <f t="shared" si="362"/>
        <v>8.6556829035339068E-4</v>
      </c>
      <c r="O1393" s="100" t="str">
        <f t="shared" si="362"/>
        <v/>
      </c>
      <c r="P1393" s="101">
        <f>IF(P1392="","",P1392/P1391)</f>
        <v>8.6979600524505389E-4</v>
      </c>
      <c r="Q1393" s="97"/>
      <c r="R1393" s="18"/>
    </row>
    <row r="1394" spans="2:18" ht="15.75" customHeight="1" x14ac:dyDescent="0.25">
      <c r="B1394" s="168" t="s">
        <v>95</v>
      </c>
      <c r="C1394" s="16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5</v>
      </c>
      <c r="H1394" s="102">
        <f t="shared" si="363"/>
        <v>8</v>
      </c>
      <c r="I1394" s="102">
        <f t="shared" si="363"/>
        <v>15</v>
      </c>
      <c r="J1394" s="102">
        <f t="shared" si="363"/>
        <v>13</v>
      </c>
      <c r="K1394" s="102">
        <f t="shared" si="363"/>
        <v>13</v>
      </c>
      <c r="L1394" s="102">
        <f t="shared" si="363"/>
        <v>10</v>
      </c>
      <c r="M1394" s="102">
        <f t="shared" si="363"/>
        <v>11</v>
      </c>
      <c r="N1394" s="102">
        <f t="shared" si="363"/>
        <v>10</v>
      </c>
      <c r="O1394" s="102">
        <f t="shared" si="363"/>
        <v>0</v>
      </c>
      <c r="P1394" s="103">
        <f>SUM(D1394:O1394)</f>
        <v>100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>
        <f t="shared" si="364"/>
        <v>1.3854253255749516E-4</v>
      </c>
      <c r="H1395" s="100">
        <f t="shared" si="364"/>
        <v>1.8624141543475731E-4</v>
      </c>
      <c r="I1395" s="100">
        <f t="shared" si="364"/>
        <v>3.0985333608758519E-4</v>
      </c>
      <c r="J1395" s="100">
        <f t="shared" si="364"/>
        <v>2.7141574628891164E-4</v>
      </c>
      <c r="K1395" s="100">
        <f t="shared" si="364"/>
        <v>2.7141574628891164E-4</v>
      </c>
      <c r="L1395" s="100">
        <f t="shared" si="364"/>
        <v>2.2795659706391903E-4</v>
      </c>
      <c r="M1395" s="100">
        <f t="shared" si="364"/>
        <v>3.4652217741935486E-4</v>
      </c>
      <c r="N1395" s="100">
        <f t="shared" si="364"/>
        <v>2.9847182425978989E-4</v>
      </c>
      <c r="O1395" s="100" t="str">
        <f t="shared" si="364"/>
        <v/>
      </c>
      <c r="P1395" s="101">
        <f>IF(P1394="","",P1394/P1391)</f>
        <v>2.6277824931874737E-4</v>
      </c>
      <c r="Q1395" s="97"/>
      <c r="R1395" s="18"/>
    </row>
    <row r="1396" spans="2:18" ht="15.75" customHeight="1" x14ac:dyDescent="0.25">
      <c r="B1396" s="168" t="s">
        <v>96</v>
      </c>
      <c r="C1396" s="16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26</v>
      </c>
      <c r="H1396" s="102">
        <f t="shared" si="365"/>
        <v>28</v>
      </c>
      <c r="I1396" s="102">
        <f t="shared" si="365"/>
        <v>28</v>
      </c>
      <c r="J1396" s="102">
        <f t="shared" si="365"/>
        <v>33</v>
      </c>
      <c r="K1396" s="102">
        <f t="shared" si="365"/>
        <v>33</v>
      </c>
      <c r="L1396" s="102">
        <f t="shared" si="365"/>
        <v>21</v>
      </c>
      <c r="M1396" s="102">
        <f>M1352+M1310+M1268+M1226+M1184+M1142+M1100+M1058+M1016+M974+M932+M890+M848+M806+M764+M722+M680+M638+M596+M554+M512+M470+M428+M386+M344+M302+M260+M218+M176+M134+M92+M50+M8</f>
        <v>13</v>
      </c>
      <c r="N1396" s="102">
        <f t="shared" si="365"/>
        <v>19</v>
      </c>
      <c r="O1396" s="102">
        <f t="shared" si="365"/>
        <v>0</v>
      </c>
      <c r="P1396" s="103">
        <f t="shared" ref="P1396" si="366">SUM(D1396:O1396)</f>
        <v>231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>
        <f t="shared" si="367"/>
        <v>7.2042116929897475E-4</v>
      </c>
      <c r="H1397" s="100">
        <f t="shared" si="367"/>
        <v>6.5184495402165058E-4</v>
      </c>
      <c r="I1397" s="100">
        <f t="shared" si="367"/>
        <v>5.783928940301591E-4</v>
      </c>
      <c r="J1397" s="100">
        <f t="shared" si="367"/>
        <v>6.8897843288723715E-4</v>
      </c>
      <c r="K1397" s="100">
        <f t="shared" si="367"/>
        <v>6.8897843288723715E-4</v>
      </c>
      <c r="L1397" s="100">
        <f t="shared" si="367"/>
        <v>4.7870885383422999E-4</v>
      </c>
      <c r="M1397" s="100">
        <f t="shared" si="367"/>
        <v>4.0952620967741937E-4</v>
      </c>
      <c r="N1397" s="100">
        <f t="shared" si="367"/>
        <v>5.6709646609360079E-4</v>
      </c>
      <c r="O1397" s="100" t="str">
        <f t="shared" si="367"/>
        <v/>
      </c>
      <c r="P1397" s="101">
        <f>IF(P1396="","",P1396/P1391)</f>
        <v>6.0701775592630642E-4</v>
      </c>
      <c r="Q1397" s="97"/>
      <c r="R1397" s="18"/>
    </row>
    <row r="1398" spans="2:18" ht="15.75" customHeight="1" x14ac:dyDescent="0.25">
      <c r="B1398" s="170" t="s">
        <v>97</v>
      </c>
      <c r="C1398" s="16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17</v>
      </c>
      <c r="H1398" s="102">
        <f t="shared" si="368"/>
        <v>17</v>
      </c>
      <c r="I1398" s="102">
        <f t="shared" si="368"/>
        <v>19</v>
      </c>
      <c r="J1398" s="102">
        <f t="shared" si="368"/>
        <v>26</v>
      </c>
      <c r="K1398" s="102">
        <f t="shared" si="368"/>
        <v>26</v>
      </c>
      <c r="L1398" s="102">
        <f t="shared" si="368"/>
        <v>14</v>
      </c>
      <c r="M1398" s="102">
        <f>M1354+M1312+M1270+M1228+M1186+M1144+M1102+M1060+M1018+M976+M934+M892+M850+M808+M766+M724+M682+M640+M598+M556+M514+M472+M430+M388+M346+M304+M262+M220+M178+M136+M94+M52+M10</f>
        <v>9</v>
      </c>
      <c r="N1398" s="102">
        <f t="shared" si="368"/>
        <v>9</v>
      </c>
      <c r="O1398" s="102">
        <f t="shared" si="368"/>
        <v>0</v>
      </c>
      <c r="P1398" s="103">
        <f>SUM(D1398:O1398)</f>
        <v>164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>
        <f>IF(G1398=0,"",G1398/G1392)</f>
        <v>0.54838709677419351</v>
      </c>
      <c r="H1399" s="143">
        <f t="shared" si="369"/>
        <v>0.6071428571428571</v>
      </c>
      <c r="I1399" s="143">
        <f>IF(I1398=0,"",I1398/I1396)</f>
        <v>0.6785714285714286</v>
      </c>
      <c r="J1399" s="143">
        <f t="shared" si="369"/>
        <v>0.78787878787878785</v>
      </c>
      <c r="K1399" s="143">
        <f t="shared" si="369"/>
        <v>0.78787878787878785</v>
      </c>
      <c r="L1399" s="143">
        <f t="shared" si="369"/>
        <v>0.66666666666666663</v>
      </c>
      <c r="M1399" s="143">
        <f>IF(M1398=0,"",M1398/M1396)</f>
        <v>0.69230769230769229</v>
      </c>
      <c r="N1399" s="143">
        <f t="shared" si="369"/>
        <v>0.47368421052631576</v>
      </c>
      <c r="O1399" s="143" t="str">
        <f>IF(O1398=0,"",O1398/O1396)</f>
        <v/>
      </c>
      <c r="P1399" s="143">
        <f>IF(P1398=0,"",P1398/P1396)</f>
        <v>0.70995670995671001</v>
      </c>
      <c r="Q1399" s="106"/>
      <c r="R1399" s="18"/>
    </row>
    <row r="1400" spans="2:18" ht="15.75" customHeight="1" x14ac:dyDescent="0.25">
      <c r="B1400" s="171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2</v>
      </c>
      <c r="H1400" s="109">
        <f t="shared" si="370"/>
        <v>1</v>
      </c>
      <c r="I1400" s="109">
        <f t="shared" si="370"/>
        <v>3</v>
      </c>
      <c r="J1400" s="109">
        <f t="shared" si="370"/>
        <v>2</v>
      </c>
      <c r="K1400" s="109">
        <f t="shared" si="370"/>
        <v>0</v>
      </c>
      <c r="L1400" s="109">
        <f t="shared" si="370"/>
        <v>0</v>
      </c>
      <c r="M1400" s="109">
        <f t="shared" si="370"/>
        <v>1</v>
      </c>
      <c r="N1400" s="109">
        <f t="shared" si="370"/>
        <v>0</v>
      </c>
      <c r="O1400" s="110">
        <f t="shared" si="370"/>
        <v>0</v>
      </c>
      <c r="P1400" s="95">
        <f>IF(SUM(D1400:O1400)=0,"",SUM(D1400:O1400))</f>
        <v>12</v>
      </c>
      <c r="Q1400" s="96">
        <f>IF(P1400="","",P1400/$P1392)</f>
        <v>3.6253776435045321E-2</v>
      </c>
      <c r="R1400" s="18"/>
    </row>
    <row r="1401" spans="2:18" ht="15.75" customHeight="1" x14ac:dyDescent="0.25">
      <c r="B1401" s="172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15</v>
      </c>
      <c r="H1401" s="112">
        <f t="shared" si="371"/>
        <v>18</v>
      </c>
      <c r="I1401" s="112">
        <f t="shared" si="371"/>
        <v>17</v>
      </c>
      <c r="J1401" s="112">
        <f t="shared" si="371"/>
        <v>13</v>
      </c>
      <c r="K1401" s="112">
        <f t="shared" si="371"/>
        <v>8</v>
      </c>
      <c r="L1401" s="112">
        <f t="shared" si="371"/>
        <v>18</v>
      </c>
      <c r="M1401" s="112">
        <f t="shared" si="371"/>
        <v>6</v>
      </c>
      <c r="N1401" s="112">
        <f t="shared" si="371"/>
        <v>15</v>
      </c>
      <c r="O1401" s="113">
        <f t="shared" si="371"/>
        <v>0</v>
      </c>
      <c r="P1401" s="103">
        <f>IF(SUM(D1401:O1401)=0,"",SUM(D1401:O1401))</f>
        <v>127</v>
      </c>
      <c r="Q1401" s="97">
        <f>IF(P1401="","",P1401/$P1392)</f>
        <v>0.38368580060422963</v>
      </c>
      <c r="R1401" s="18"/>
    </row>
    <row r="1402" spans="2:18" ht="15.75" customHeight="1" x14ac:dyDescent="0.25">
      <c r="B1402" s="172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1</v>
      </c>
      <c r="I1402" s="112">
        <f t="shared" si="372"/>
        <v>6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8</v>
      </c>
      <c r="Q1402" s="97">
        <f>IF(P1402="","",P1402/$P1392)</f>
        <v>2.4169184290030211E-2</v>
      </c>
      <c r="R1402" s="18"/>
    </row>
    <row r="1403" spans="2:18" ht="15.75" customHeight="1" x14ac:dyDescent="0.25">
      <c r="B1403" s="172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3</v>
      </c>
      <c r="H1403" s="112">
        <f t="shared" si="374"/>
        <v>4</v>
      </c>
      <c r="I1403" s="112">
        <f t="shared" si="374"/>
        <v>6</v>
      </c>
      <c r="J1403" s="112">
        <f t="shared" si="374"/>
        <v>9</v>
      </c>
      <c r="K1403" s="112">
        <f t="shared" si="374"/>
        <v>9</v>
      </c>
      <c r="L1403" s="112">
        <f t="shared" si="374"/>
        <v>8</v>
      </c>
      <c r="M1403" s="112">
        <f t="shared" si="374"/>
        <v>9</v>
      </c>
      <c r="N1403" s="112">
        <f t="shared" si="374"/>
        <v>10</v>
      </c>
      <c r="O1403" s="113">
        <f t="shared" si="374"/>
        <v>0</v>
      </c>
      <c r="P1403" s="103">
        <f t="shared" si="373"/>
        <v>69</v>
      </c>
      <c r="Q1403" s="97">
        <f>IF(P1403="","",P1403/$P1392)</f>
        <v>0.20845921450151059</v>
      </c>
      <c r="R1403" s="18"/>
    </row>
    <row r="1404" spans="2:18" ht="15.75" customHeight="1" x14ac:dyDescent="0.25">
      <c r="B1404" s="172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2</v>
      </c>
      <c r="H1404" s="112">
        <f t="shared" si="375"/>
        <v>2</v>
      </c>
      <c r="I1404" s="112">
        <f t="shared" si="375"/>
        <v>3</v>
      </c>
      <c r="J1404" s="112">
        <f t="shared" si="375"/>
        <v>7</v>
      </c>
      <c r="K1404" s="112">
        <f t="shared" si="375"/>
        <v>1</v>
      </c>
      <c r="L1404" s="112">
        <f t="shared" si="375"/>
        <v>0</v>
      </c>
      <c r="M1404" s="112">
        <f t="shared" si="375"/>
        <v>0</v>
      </c>
      <c r="N1404" s="112">
        <f t="shared" si="375"/>
        <v>2</v>
      </c>
      <c r="O1404" s="113">
        <f t="shared" si="375"/>
        <v>0</v>
      </c>
      <c r="P1404" s="103">
        <f t="shared" si="373"/>
        <v>19</v>
      </c>
      <c r="Q1404" s="97">
        <f>IF(P1404="","",P1404/$P1392)</f>
        <v>5.7401812688821753E-2</v>
      </c>
      <c r="R1404" s="18"/>
    </row>
    <row r="1405" spans="2:18" ht="15.75" customHeight="1" x14ac:dyDescent="0.25">
      <c r="B1405" s="172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5</v>
      </c>
      <c r="H1405" s="112">
        <f t="shared" si="376"/>
        <v>2</v>
      </c>
      <c r="I1405" s="112">
        <f t="shared" si="376"/>
        <v>2</v>
      </c>
      <c r="J1405" s="112">
        <f t="shared" si="376"/>
        <v>5</v>
      </c>
      <c r="K1405" s="112">
        <f t="shared" si="376"/>
        <v>1</v>
      </c>
      <c r="L1405" s="112">
        <f t="shared" si="376"/>
        <v>2</v>
      </c>
      <c r="M1405" s="112">
        <f t="shared" si="376"/>
        <v>5</v>
      </c>
      <c r="N1405" s="112">
        <f t="shared" si="376"/>
        <v>2</v>
      </c>
      <c r="O1405" s="113">
        <f t="shared" si="376"/>
        <v>0</v>
      </c>
      <c r="P1405" s="103">
        <f t="shared" si="373"/>
        <v>25</v>
      </c>
      <c r="Q1405" s="97">
        <f>IF(P1405="","",P1405/$P1392)</f>
        <v>7.5528700906344406E-2</v>
      </c>
      <c r="R1405" s="18"/>
    </row>
    <row r="1406" spans="2:18" ht="15.75" customHeight="1" x14ac:dyDescent="0.25">
      <c r="B1406" s="172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2</v>
      </c>
      <c r="H1406" s="112">
        <f t="shared" si="377"/>
        <v>1</v>
      </c>
      <c r="I1406" s="112">
        <f t="shared" si="377"/>
        <v>3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7</v>
      </c>
      <c r="Q1406" s="97">
        <f>IF(P1406="","",P1406/$P1392)</f>
        <v>2.1148036253776436E-2</v>
      </c>
      <c r="R1406" s="18"/>
    </row>
    <row r="1407" spans="2:18" ht="15.75" customHeight="1" x14ac:dyDescent="0.25">
      <c r="B1407" s="172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72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2</v>
      </c>
      <c r="H1408" s="112">
        <f t="shared" si="379"/>
        <v>5</v>
      </c>
      <c r="I1408" s="112">
        <f t="shared" si="379"/>
        <v>3</v>
      </c>
      <c r="J1408" s="112">
        <f t="shared" si="379"/>
        <v>8</v>
      </c>
      <c r="K1408" s="112">
        <f t="shared" si="379"/>
        <v>0</v>
      </c>
      <c r="L1408" s="112">
        <f t="shared" si="379"/>
        <v>1</v>
      </c>
      <c r="M1408" s="112">
        <f t="shared" si="379"/>
        <v>1</v>
      </c>
      <c r="N1408" s="112">
        <f t="shared" si="379"/>
        <v>0</v>
      </c>
      <c r="O1408" s="113">
        <f t="shared" si="379"/>
        <v>0</v>
      </c>
      <c r="P1408" s="103">
        <f t="shared" si="373"/>
        <v>29</v>
      </c>
      <c r="Q1408" s="97">
        <f>IF(P1408="","",P1408/$P1392)</f>
        <v>8.7613293051359523E-2</v>
      </c>
      <c r="R1408" s="18"/>
    </row>
    <row r="1409" spans="2:18" ht="15.75" customHeight="1" x14ac:dyDescent="0.25">
      <c r="B1409" s="172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1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>
        <f t="shared" si="373"/>
        <v>1</v>
      </c>
      <c r="Q1409" s="97">
        <f>IF(P1409="","",P1409/$P1392)</f>
        <v>3.0211480362537764E-3</v>
      </c>
      <c r="R1409" s="18"/>
    </row>
    <row r="1410" spans="2:18" ht="15.75" customHeight="1" x14ac:dyDescent="0.25">
      <c r="B1410" s="172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72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1</v>
      </c>
      <c r="K1411" s="112">
        <f t="shared" si="382"/>
        <v>0</v>
      </c>
      <c r="L1411" s="112">
        <f t="shared" si="382"/>
        <v>2</v>
      </c>
      <c r="M1411" s="112">
        <f t="shared" si="382"/>
        <v>2</v>
      </c>
      <c r="N1411" s="112">
        <f t="shared" si="382"/>
        <v>0</v>
      </c>
      <c r="O1411" s="113">
        <f t="shared" si="382"/>
        <v>0</v>
      </c>
      <c r="P1411" s="103">
        <f t="shared" si="373"/>
        <v>5</v>
      </c>
      <c r="Q1411" s="97">
        <f>IF(P1411="","",P1411/$P1392)</f>
        <v>1.5105740181268883E-2</v>
      </c>
      <c r="R1411" s="18"/>
    </row>
    <row r="1412" spans="2:18" ht="15.75" customHeight="1" x14ac:dyDescent="0.25">
      <c r="B1412" s="172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1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>
        <f t="shared" si="373"/>
        <v>1</v>
      </c>
      <c r="Q1412" s="97">
        <f>IF(P1412="","",P1412/$P1392)</f>
        <v>3.0211480362537764E-3</v>
      </c>
      <c r="R1412" s="18"/>
    </row>
    <row r="1413" spans="2:18" ht="15.75" customHeight="1" thickBot="1" x14ac:dyDescent="0.3">
      <c r="B1413" s="173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1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>
        <f t="shared" si="373"/>
        <v>1</v>
      </c>
      <c r="Q1413" s="97">
        <f>IF(P1413="","",P1413/$P1392)</f>
        <v>3.0211480362537764E-3</v>
      </c>
      <c r="R1413" s="18"/>
    </row>
    <row r="1414" spans="2:18" ht="15.75" customHeight="1" x14ac:dyDescent="0.25">
      <c r="B1414" s="174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16</v>
      </c>
      <c r="H1414" s="116">
        <f t="shared" si="385"/>
        <v>14</v>
      </c>
      <c r="I1414" s="116">
        <f t="shared" si="385"/>
        <v>26</v>
      </c>
      <c r="J1414" s="116">
        <f t="shared" si="385"/>
        <v>22</v>
      </c>
      <c r="K1414" s="116">
        <f t="shared" si="385"/>
        <v>22</v>
      </c>
      <c r="L1414" s="116">
        <f t="shared" si="385"/>
        <v>13</v>
      </c>
      <c r="M1414" s="116">
        <f t="shared" si="385"/>
        <v>12</v>
      </c>
      <c r="N1414" s="116">
        <f t="shared" si="385"/>
        <v>11</v>
      </c>
      <c r="O1414" s="117">
        <f>O1370+O1328+O1286+O1244+O1202+O1160+O1118+O1076+O1034+O992+O950+O908+O866+O824+O782+O740+O698+O656+O614+O572+O530+O488+O446+O404+O362+O320+O278+O236+O194+O152+O110+O68+O26</f>
        <v>0</v>
      </c>
      <c r="P1414" s="118">
        <f>SUM(D1414:O1414)</f>
        <v>156</v>
      </c>
      <c r="Q1414" s="96">
        <f>IF(P1414=0,"",P1414/$P1398)</f>
        <v>0.95121951219512191</v>
      </c>
      <c r="R1414" s="18"/>
    </row>
    <row r="1415" spans="2:18" ht="15.75" customHeight="1" x14ac:dyDescent="0.25">
      <c r="B1415" s="175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2</v>
      </c>
      <c r="H1415" s="121">
        <f t="shared" si="386"/>
        <v>3</v>
      </c>
      <c r="I1415" s="121">
        <f t="shared" si="386"/>
        <v>3</v>
      </c>
      <c r="J1415" s="121">
        <f t="shared" si="386"/>
        <v>2</v>
      </c>
      <c r="K1415" s="121">
        <f t="shared" si="386"/>
        <v>2</v>
      </c>
      <c r="L1415" s="121">
        <f t="shared" si="386"/>
        <v>0</v>
      </c>
      <c r="M1415" s="121">
        <f t="shared" si="386"/>
        <v>1</v>
      </c>
      <c r="N1415" s="121">
        <f t="shared" si="386"/>
        <v>0</v>
      </c>
      <c r="O1415" s="122">
        <f t="shared" si="386"/>
        <v>0</v>
      </c>
      <c r="P1415" s="123">
        <f t="shared" ref="P1415:P1423" si="387">SUM(D1415:O1415)</f>
        <v>17</v>
      </c>
      <c r="Q1415" s="124">
        <f>IF(P1415=0,"",P1415/$P1398)</f>
        <v>0.10365853658536585</v>
      </c>
      <c r="R1415" s="18"/>
    </row>
    <row r="1416" spans="2:18" ht="15.75" customHeight="1" x14ac:dyDescent="0.25">
      <c r="B1416" s="175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7</v>
      </c>
      <c r="H1416" s="121">
        <f t="shared" si="388"/>
        <v>9</v>
      </c>
      <c r="I1416" s="121">
        <f t="shared" si="388"/>
        <v>8</v>
      </c>
      <c r="J1416" s="121">
        <f t="shared" si="388"/>
        <v>9</v>
      </c>
      <c r="K1416" s="121">
        <f t="shared" si="388"/>
        <v>9</v>
      </c>
      <c r="L1416" s="121">
        <f t="shared" si="388"/>
        <v>8</v>
      </c>
      <c r="M1416" s="121">
        <f t="shared" si="388"/>
        <v>1</v>
      </c>
      <c r="N1416" s="121">
        <f t="shared" si="388"/>
        <v>4</v>
      </c>
      <c r="O1416" s="122">
        <f t="shared" si="388"/>
        <v>0</v>
      </c>
      <c r="P1416" s="123">
        <f t="shared" si="387"/>
        <v>67</v>
      </c>
      <c r="Q1416" s="124">
        <f>IF(P1416=0,"",P1416/$P1398)</f>
        <v>0.40853658536585363</v>
      </c>
      <c r="R1416" s="18"/>
    </row>
    <row r="1417" spans="2:18" ht="15.75" customHeight="1" x14ac:dyDescent="0.25">
      <c r="B1417" s="175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75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7</v>
      </c>
      <c r="J1418" s="121">
        <f t="shared" si="390"/>
        <v>2</v>
      </c>
      <c r="K1418" s="121">
        <f t="shared" si="390"/>
        <v>2</v>
      </c>
      <c r="L1418" s="121">
        <f t="shared" si="390"/>
        <v>2</v>
      </c>
      <c r="M1418" s="121">
        <f t="shared" si="390"/>
        <v>4</v>
      </c>
      <c r="N1418" s="121">
        <f t="shared" si="390"/>
        <v>3</v>
      </c>
      <c r="O1418" s="122">
        <f t="shared" si="390"/>
        <v>0</v>
      </c>
      <c r="P1418" s="123">
        <f t="shared" si="387"/>
        <v>20</v>
      </c>
      <c r="Q1418" s="124">
        <f>IF(P1418=0,"",P1418/$P1398)</f>
        <v>0.12195121951219512</v>
      </c>
      <c r="R1418" s="18"/>
    </row>
    <row r="1419" spans="2:18" ht="15.75" customHeight="1" x14ac:dyDescent="0.25">
      <c r="B1419" s="175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1</v>
      </c>
      <c r="I1419" s="121">
        <f t="shared" si="391"/>
        <v>1</v>
      </c>
      <c r="J1419" s="121">
        <f t="shared" si="391"/>
        <v>3</v>
      </c>
      <c r="K1419" s="121">
        <f t="shared" si="391"/>
        <v>3</v>
      </c>
      <c r="L1419" s="121">
        <f t="shared" si="391"/>
        <v>2</v>
      </c>
      <c r="M1419" s="121">
        <f t="shared" si="391"/>
        <v>2</v>
      </c>
      <c r="N1419" s="121">
        <f t="shared" si="391"/>
        <v>1</v>
      </c>
      <c r="O1419" s="122">
        <f t="shared" si="391"/>
        <v>0</v>
      </c>
      <c r="P1419" s="123">
        <f t="shared" si="387"/>
        <v>14</v>
      </c>
      <c r="Q1419" s="124">
        <f>IF(P1419=0,"",P1419/$P1398)</f>
        <v>8.5365853658536592E-2</v>
      </c>
      <c r="R1419" s="18"/>
    </row>
    <row r="1420" spans="2:18" ht="15.75" customHeight="1" x14ac:dyDescent="0.25">
      <c r="B1420" s="175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3</v>
      </c>
      <c r="H1420" s="127">
        <f t="shared" si="392"/>
        <v>1</v>
      </c>
      <c r="I1420" s="127">
        <f t="shared" si="392"/>
        <v>1</v>
      </c>
      <c r="J1420" s="127">
        <f t="shared" si="392"/>
        <v>5</v>
      </c>
      <c r="K1420" s="127">
        <f t="shared" si="392"/>
        <v>5</v>
      </c>
      <c r="L1420" s="127">
        <f t="shared" si="392"/>
        <v>0</v>
      </c>
      <c r="M1420" s="127">
        <f t="shared" si="392"/>
        <v>0</v>
      </c>
      <c r="N1420" s="127">
        <f t="shared" si="392"/>
        <v>1</v>
      </c>
      <c r="O1420" s="128">
        <f t="shared" si="392"/>
        <v>0</v>
      </c>
      <c r="P1420" s="123">
        <f t="shared" si="387"/>
        <v>18</v>
      </c>
      <c r="Q1420" s="124">
        <f>IF(P1420=0,"",P1420/$P1398)</f>
        <v>0.10975609756097561</v>
      </c>
      <c r="R1420" s="18"/>
    </row>
    <row r="1421" spans="2:18" ht="15.75" customHeight="1" x14ac:dyDescent="0.25">
      <c r="B1421" s="175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2</v>
      </c>
      <c r="H1421" s="127">
        <f t="shared" si="393"/>
        <v>0</v>
      </c>
      <c r="I1421" s="127">
        <f t="shared" si="393"/>
        <v>4</v>
      </c>
      <c r="J1421" s="127">
        <f t="shared" si="393"/>
        <v>1</v>
      </c>
      <c r="K1421" s="127">
        <f t="shared" si="393"/>
        <v>1</v>
      </c>
      <c r="L1421" s="127">
        <f t="shared" si="393"/>
        <v>1</v>
      </c>
      <c r="M1421" s="127">
        <f t="shared" si="393"/>
        <v>4</v>
      </c>
      <c r="N1421" s="127">
        <f t="shared" si="393"/>
        <v>2</v>
      </c>
      <c r="O1421" s="128">
        <f t="shared" si="393"/>
        <v>0</v>
      </c>
      <c r="P1421" s="123">
        <f t="shared" si="387"/>
        <v>16</v>
      </c>
      <c r="Q1421" s="124">
        <f>IF(P1421=0,"",P1421/$P1398)</f>
        <v>9.7560975609756101E-2</v>
      </c>
      <c r="R1421" s="18"/>
    </row>
    <row r="1422" spans="2:18" ht="15.75" customHeight="1" x14ac:dyDescent="0.25">
      <c r="B1422" s="175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2</v>
      </c>
      <c r="H1422" s="121">
        <f t="shared" si="394"/>
        <v>0</v>
      </c>
      <c r="I1422" s="121">
        <f t="shared" si="394"/>
        <v>2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4</v>
      </c>
      <c r="Q1422" s="124">
        <f>IF(P1422=0,"",P1422/$P1398)</f>
        <v>2.4390243902439025E-2</v>
      </c>
      <c r="R1422" s="18"/>
    </row>
    <row r="1423" spans="2:18" ht="15.75" customHeight="1" x14ac:dyDescent="0.25">
      <c r="B1423" s="175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76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1</v>
      </c>
      <c r="H1424" s="131">
        <f t="shared" si="396"/>
        <v>3</v>
      </c>
      <c r="I1424" s="131">
        <f t="shared" si="396"/>
        <v>3</v>
      </c>
      <c r="J1424" s="131">
        <f t="shared" si="396"/>
        <v>4</v>
      </c>
      <c r="K1424" s="131">
        <f t="shared" si="396"/>
        <v>4</v>
      </c>
      <c r="L1424" s="131">
        <f t="shared" si="396"/>
        <v>1</v>
      </c>
      <c r="M1424" s="131">
        <f t="shared" si="396"/>
        <v>2</v>
      </c>
      <c r="N1424" s="131">
        <f t="shared" si="396"/>
        <v>0</v>
      </c>
      <c r="O1424" s="132">
        <f t="shared" si="396"/>
        <v>0</v>
      </c>
      <c r="P1424" s="133">
        <f>SUM(D1424:O1424)</f>
        <v>25</v>
      </c>
      <c r="Q1424" s="97">
        <f>IF(P1424=0,"",P1424/$P1398)</f>
        <v>0.1524390243902439</v>
      </c>
      <c r="R1424" s="18"/>
    </row>
    <row r="1425" spans="2:18" ht="15.75" customHeight="1" x14ac:dyDescent="0.25">
      <c r="B1425" s="176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1</v>
      </c>
      <c r="H1425" s="121">
        <f t="shared" si="398"/>
        <v>1</v>
      </c>
      <c r="I1425" s="121">
        <f t="shared" si="398"/>
        <v>1</v>
      </c>
      <c r="J1425" s="121">
        <f t="shared" si="398"/>
        <v>4</v>
      </c>
      <c r="K1425" s="121">
        <f t="shared" si="398"/>
        <v>4</v>
      </c>
      <c r="L1425" s="121">
        <f t="shared" si="398"/>
        <v>0</v>
      </c>
      <c r="M1425" s="121">
        <f t="shared" si="398"/>
        <v>1</v>
      </c>
      <c r="N1425" s="121">
        <f t="shared" si="398"/>
        <v>0</v>
      </c>
      <c r="O1425" s="122">
        <f t="shared" si="398"/>
        <v>0</v>
      </c>
      <c r="P1425" s="123">
        <f>SUM(D1425:O1425)</f>
        <v>13</v>
      </c>
      <c r="Q1425" s="124">
        <f>IF(P1425=0,"",P1425/$P1398)</f>
        <v>7.926829268292683E-2</v>
      </c>
      <c r="R1425" s="18"/>
    </row>
    <row r="1426" spans="2:18" ht="15.75" customHeight="1" x14ac:dyDescent="0.25">
      <c r="B1426" s="176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1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1</v>
      </c>
      <c r="Q1426" s="124">
        <f>IF(P1426=0,"",P1426/$P1398)</f>
        <v>6.0975609756097563E-3</v>
      </c>
      <c r="R1426" s="18"/>
    </row>
    <row r="1427" spans="2:18" ht="15.75" customHeight="1" x14ac:dyDescent="0.25">
      <c r="B1427" s="176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1</v>
      </c>
      <c r="I1427" s="121">
        <f t="shared" si="403"/>
        <v>1</v>
      </c>
      <c r="J1427" s="121">
        <f t="shared" si="403"/>
        <v>0</v>
      </c>
      <c r="K1427" s="121">
        <f t="shared" si="403"/>
        <v>0</v>
      </c>
      <c r="L1427" s="121">
        <f t="shared" si="403"/>
        <v>1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3</v>
      </c>
      <c r="Q1427" s="124">
        <f>IF(P1427=0,"",P1427/$P1398)</f>
        <v>1.8292682926829267E-2</v>
      </c>
      <c r="R1427" s="18"/>
    </row>
    <row r="1428" spans="2:18" ht="15.75" customHeight="1" x14ac:dyDescent="0.25">
      <c r="B1428" s="176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1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1</v>
      </c>
      <c r="N1428" s="121">
        <f t="shared" si="405"/>
        <v>0</v>
      </c>
      <c r="O1428" s="122">
        <f t="shared" si="405"/>
        <v>0</v>
      </c>
      <c r="P1428" s="123">
        <f t="shared" si="401"/>
        <v>7</v>
      </c>
      <c r="Q1428" s="124">
        <f>IF(P1428=0,"",P1428/$P1398)</f>
        <v>4.2682926829268296E-2</v>
      </c>
      <c r="R1428" s="18"/>
    </row>
    <row r="1429" spans="2:18" ht="15.75" customHeight="1" thickBot="1" x14ac:dyDescent="0.3">
      <c r="B1429" s="177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6.0975609756097563E-3</v>
      </c>
      <c r="R1429" s="18"/>
    </row>
    <row r="1430" spans="2:18" ht="15.75" customHeight="1" x14ac:dyDescent="0.2">
      <c r="D1430" s="89"/>
      <c r="R1430" s="18"/>
    </row>
  </sheetData>
  <customSheetViews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2021-03-17T10:03:30Z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