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TAXICARD\8) Data and Analysis\TAXICARD STATISTICS\TAXICARD STATISTICS 2020-21\"/>
    </mc:Choice>
  </mc:AlternateContent>
  <xr:revisionPtr revIDLastSave="0" documentId="13_ncr:1_{C5FA74CB-065C-4D97-A2E4-72948E47E75D}" xr6:coauthVersionLast="45" xr6:coauthVersionMax="45" xr10:uidLastSave="{00000000-0000-0000-0000-000000000000}"/>
  <bookViews>
    <workbookView xWindow="23835" yWindow="780" windowWidth="29805" windowHeight="17850" tabRatio="464" firstSheet="1" activeTab="1" xr2:uid="{00000000-000D-0000-FFFF-FFFF00000000}"/>
  </bookViews>
  <sheets>
    <sheet name="MTHLY STATS" sheetId="1" state="hidden" r:id="rId1"/>
    <sheet name="COMPLAINTS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B">#REF!</definedName>
    <definedName name="BoroughNames">#REF!</definedName>
    <definedName name="Data">#REF!</definedName>
    <definedName name="E">#REF!</definedName>
    <definedName name="EMail_Address">#REF!</definedName>
    <definedName name="Havering">#REF!</definedName>
    <definedName name="NewPenaltydeductions">#REF!</definedName>
    <definedName name="Penaltydeduction">#REF!</definedName>
    <definedName name="Percentage1">#REF!</definedName>
    <definedName name="_xlnm.Print_Titles">COMPLAINTS!$1:$3</definedName>
    <definedName name="Z_00354E9F_DD97_4482_9702_3202D73AD0E2_.wvu.PrintArea" localSheetId="1" hidden="1">COMPLAINTS!#REF!</definedName>
    <definedName name="Z_53E54750_EB7B_4534_9E39_36B4D05ACAEB_.wvu.PrintArea" localSheetId="1" hidden="1">COMPLAINTS!#REF!</definedName>
    <definedName name="Z_7931A6C7_0C37_4E86_9551_0B8D9FE2E81B_.wvu.PrintArea" localSheetId="1" hidden="1">COMPLAINTS!#REF!</definedName>
    <definedName name="Z_8BD24DD2_71C2_4877_804B_92D7756C8286_.wvu.PrintArea" localSheetId="1" hidden="1">COMPLAINTS!#REF!</definedName>
    <definedName name="Z_9816F32E_D80F_41D4_8A58_E0F6E97FF330_.wvu.PrintArea" localSheetId="1" hidden="1">COMPLAINTS!#REF!</definedName>
    <definedName name="Z_9DB70752_1F33_48AF_ADCF_28688D9C33B6_.wvu.PrintArea" localSheetId="1" hidden="1">COMPLAINTS!#REF!</definedName>
    <definedName name="Z_A0A1B6E4_1DF6_11D4_8D6C_EB17C7E9EF32_.wvu.Cols" localSheetId="1" hidden="1">COMPLAINTS!#REF!</definedName>
    <definedName name="Z_A0A1B6E4_1DF6_11D4_8D6C_EB17C7E9EF32_.wvu.PrintArea" localSheetId="1" hidden="1">COMPLAINTS!#REF!</definedName>
    <definedName name="Z_A9DEFEA3_D23F_4755_A477_C77D98287ADE_.wvu.PrintArea" localSheetId="1" hidden="1">COMPLAINTS!#REF!</definedName>
    <definedName name="Z_C6861A0E_2265_4470_98A5_8B12149A9AFA_.wvu.PrintArea" localSheetId="1" hidden="1">COMPLAINTS!#REF!</definedName>
    <definedName name="Z_E1A82BD3_8422_11D6_9150_006008453A36_.wvu.PrintArea" localSheetId="1" hidden="1">COMPLAINTS!#REF!</definedName>
    <definedName name="Z_F6C7DB61_DA65_4B92_B84A_F7F617F7AFA3_.wvu.PrintArea" localSheetId="1" hidden="1">COMPLAINTS!#REF!</definedName>
  </definedNames>
  <calcPr calcId="191029"/>
  <customWorkbookViews>
    <customWorkbookView name="FaithA - Personal View" guid="{8BD24DD2-71C2-4877-804B-92D7756C8286}" mergeInterval="0" personalView="1" maximized="1" xWindow="6" yWindow="21" windowWidth="796" windowHeight="577" tabRatio="464" activeSheetId="2"/>
    <customWorkbookView name="paulg - Personal View" guid="{F6C7DB61-DA65-4B92-B84A-F7F617F7AFA3}" mergeInterval="0" personalView="1" maximized="1" windowWidth="1276" windowHeight="824" tabRatio="464" activeSheetId="2"/>
    <customWorkbookView name="  - Personal View" guid="{C6861A0E-2265-4470-98A5-8B12149A9AFA}" mergeInterval="0" personalView="1" maximized="1" windowWidth="794" windowHeight="402" tabRatio="464" activeSheetId="2"/>
    <customWorkbookView name="SarahT - Personal View" guid="{9816F32E-D80F-41D4-8A58-E0F6E97FF330}" mergeInterval="0" personalView="1" maximized="1" windowWidth="1276" windowHeight="834" tabRatio="918" activeSheetId="2"/>
    <customWorkbookView name="TonyO - Personal View" guid="{D0D00813-2644-11D4-B451-006008453C39}" mergeInterval="0" personalView="1" maximized="1" windowWidth="987" windowHeight="579" tabRatio="918" activeSheetId="2"/>
    <customWorkbookView name="MatthewK - Personal View" guid="{7931A6C7-0C37-4E86-9551-0B8D9FE2E81B}" mergeInterval="0" personalView="1" maximized="1" windowWidth="1276" windowHeight="862" tabRatio="918" activeSheetId="2"/>
    <customWorkbookView name="Tony O'Connor - Personal View" guid="{A0A1B6E4-1DF6-11D4-8D6C-EB17C7E9EF32}" mergeInterval="0" personalView="1" maximized="1" windowWidth="636" windowHeight="318" tabRatio="918" activeSheetId="2" showComments="commIndAndComment"/>
    <customWorkbookView name="MarieB - Personal View" guid="{E1A82BD3-8422-11D6-9150-006008453A36}" mergeInterval="0" personalView="1" maximized="1" windowWidth="1276" windowHeight="834" tabRatio="918" activeSheetId="2"/>
    <customWorkbookView name="Susanw - Personal View" guid="{8F0D6493-DB9F-4278-BADC-D4F224592E59}" mergeInterval="0" personalView="1" maximized="1" windowWidth="1148" windowHeight="702" tabRatio="918" activeSheetId="2"/>
    <customWorkbookView name="tricias - Personal View" guid="{9DB70752-1F33-48AF-ADCF-28688D9C33B6}" mergeInterval="0" personalView="1" maximized="1" windowWidth="1020" windowHeight="632" tabRatio="918" activeSheetId="2" showComments="commIndAndComment"/>
    <customWorkbookView name="Neelams - Personal View" guid="{1BBDAD61-F2C9-11D4-89AE-006008453A41}" mergeInterval="0" personalView="1" maximized="1" windowWidth="1148" windowHeight="728" tabRatio="918" activeSheetId="2"/>
    <customWorkbookView name="MichelaC - Personal View" guid="{00354E9F-DD97-4482-9702-3202D73AD0E2}" mergeInterval="0" personalView="1" maximized="1" windowWidth="1148" windowHeight="649" tabRatio="918" activeSheetId="2" showComments="commIndAndComment"/>
    <customWorkbookView name="Maio - Personal View" guid="{53E54750-EB7B-4534-9E39-36B4D05ACAEB}" mergeInterval="0" personalView="1" maximized="1" windowWidth="1276" windowHeight="861" tabRatio="464" activeSheetId="2"/>
    <customWorkbookView name="DeanR - Personal View" guid="{A9DEFEA3-D23F-4755-A477-C77D98287ADE}" mergeInterval="0" personalView="1" maximized="1" windowWidth="1012" windowHeight="595" tabRatio="464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49" i="2" l="1"/>
  <c r="O587" i="2"/>
  <c r="N587" i="2"/>
  <c r="M587" i="2"/>
  <c r="L587" i="2"/>
  <c r="K587" i="2"/>
  <c r="J587" i="2"/>
  <c r="H587" i="2"/>
  <c r="G587" i="2"/>
  <c r="F587" i="2"/>
  <c r="E587" i="2"/>
  <c r="D587" i="2"/>
  <c r="O586" i="2"/>
  <c r="N586" i="2"/>
  <c r="M586" i="2"/>
  <c r="L586" i="2"/>
  <c r="K586" i="2"/>
  <c r="J586" i="2"/>
  <c r="H586" i="2"/>
  <c r="G586" i="2"/>
  <c r="F586" i="2"/>
  <c r="E586" i="2"/>
  <c r="D586" i="2"/>
  <c r="O585" i="2"/>
  <c r="N585" i="2"/>
  <c r="M585" i="2"/>
  <c r="L585" i="2"/>
  <c r="K585" i="2"/>
  <c r="J585" i="2"/>
  <c r="H585" i="2"/>
  <c r="G585" i="2"/>
  <c r="F585" i="2"/>
  <c r="E585" i="2"/>
  <c r="D585" i="2"/>
  <c r="O584" i="2"/>
  <c r="N584" i="2"/>
  <c r="M584" i="2"/>
  <c r="L584" i="2"/>
  <c r="K584" i="2"/>
  <c r="J584" i="2"/>
  <c r="H584" i="2"/>
  <c r="G584" i="2"/>
  <c r="F584" i="2"/>
  <c r="E584" i="2"/>
  <c r="D584" i="2"/>
  <c r="O583" i="2"/>
  <c r="N583" i="2"/>
  <c r="M583" i="2"/>
  <c r="L583" i="2"/>
  <c r="K583" i="2"/>
  <c r="J583" i="2"/>
  <c r="H583" i="2"/>
  <c r="G583" i="2"/>
  <c r="F583" i="2"/>
  <c r="E583" i="2"/>
  <c r="D583" i="2"/>
  <c r="O582" i="2"/>
  <c r="N582" i="2"/>
  <c r="M582" i="2"/>
  <c r="L582" i="2"/>
  <c r="K582" i="2"/>
  <c r="J582" i="2"/>
  <c r="H582" i="2"/>
  <c r="G582" i="2"/>
  <c r="F582" i="2"/>
  <c r="E582" i="2"/>
  <c r="D582" i="2"/>
  <c r="O581" i="2"/>
  <c r="N581" i="2"/>
  <c r="M581" i="2"/>
  <c r="L581" i="2"/>
  <c r="K581" i="2"/>
  <c r="J581" i="2"/>
  <c r="H581" i="2"/>
  <c r="G581" i="2"/>
  <c r="F581" i="2"/>
  <c r="E581" i="2"/>
  <c r="D581" i="2"/>
  <c r="O580" i="2"/>
  <c r="N580" i="2"/>
  <c r="M580" i="2"/>
  <c r="L580" i="2"/>
  <c r="K580" i="2"/>
  <c r="J580" i="2"/>
  <c r="H580" i="2"/>
  <c r="G580" i="2"/>
  <c r="F580" i="2"/>
  <c r="E580" i="2"/>
  <c r="D580" i="2"/>
  <c r="O579" i="2"/>
  <c r="N579" i="2"/>
  <c r="M579" i="2"/>
  <c r="L579" i="2"/>
  <c r="K579" i="2"/>
  <c r="J579" i="2"/>
  <c r="H579" i="2"/>
  <c r="G579" i="2"/>
  <c r="F579" i="2"/>
  <c r="E579" i="2"/>
  <c r="D579" i="2"/>
  <c r="O578" i="2"/>
  <c r="N578" i="2"/>
  <c r="M578" i="2"/>
  <c r="L578" i="2"/>
  <c r="K578" i="2"/>
  <c r="J578" i="2"/>
  <c r="H578" i="2"/>
  <c r="G578" i="2"/>
  <c r="F578" i="2"/>
  <c r="E578" i="2"/>
  <c r="D578" i="2"/>
  <c r="O577" i="2"/>
  <c r="N577" i="2"/>
  <c r="M577" i="2"/>
  <c r="L577" i="2"/>
  <c r="K577" i="2"/>
  <c r="J577" i="2"/>
  <c r="H577" i="2"/>
  <c r="G577" i="2"/>
  <c r="F577" i="2"/>
  <c r="E577" i="2"/>
  <c r="D577" i="2"/>
  <c r="O576" i="2"/>
  <c r="N576" i="2"/>
  <c r="M576" i="2"/>
  <c r="L576" i="2"/>
  <c r="K576" i="2"/>
  <c r="J576" i="2"/>
  <c r="H576" i="2"/>
  <c r="G576" i="2"/>
  <c r="F576" i="2"/>
  <c r="E576" i="2"/>
  <c r="D576" i="2"/>
  <c r="O575" i="2"/>
  <c r="N575" i="2"/>
  <c r="M575" i="2"/>
  <c r="L575" i="2"/>
  <c r="K575" i="2"/>
  <c r="J575" i="2"/>
  <c r="H575" i="2"/>
  <c r="G575" i="2"/>
  <c r="F575" i="2"/>
  <c r="E575" i="2"/>
  <c r="D575" i="2"/>
  <c r="O574" i="2"/>
  <c r="N574" i="2"/>
  <c r="M574" i="2"/>
  <c r="L574" i="2"/>
  <c r="K574" i="2"/>
  <c r="J574" i="2"/>
  <c r="H574" i="2"/>
  <c r="G574" i="2"/>
  <c r="F574" i="2"/>
  <c r="E574" i="2"/>
  <c r="D574" i="2"/>
  <c r="O573" i="2"/>
  <c r="N573" i="2"/>
  <c r="M573" i="2"/>
  <c r="L573" i="2"/>
  <c r="K573" i="2"/>
  <c r="J573" i="2"/>
  <c r="H573" i="2"/>
  <c r="G573" i="2"/>
  <c r="F573" i="2"/>
  <c r="E573" i="2"/>
  <c r="D573" i="2"/>
  <c r="O572" i="2"/>
  <c r="N572" i="2"/>
  <c r="M572" i="2"/>
  <c r="L572" i="2"/>
  <c r="K572" i="2"/>
  <c r="J572" i="2"/>
  <c r="H572" i="2"/>
  <c r="G572" i="2"/>
  <c r="F572" i="2"/>
  <c r="E572" i="2"/>
  <c r="D572" i="2"/>
  <c r="O571" i="2"/>
  <c r="N571" i="2"/>
  <c r="M571" i="2"/>
  <c r="L571" i="2"/>
  <c r="K571" i="2"/>
  <c r="J571" i="2"/>
  <c r="I571" i="2"/>
  <c r="H571" i="2"/>
  <c r="G571" i="2"/>
  <c r="F571" i="2"/>
  <c r="E571" i="2"/>
  <c r="D571" i="2"/>
  <c r="O570" i="2"/>
  <c r="N570" i="2"/>
  <c r="M570" i="2"/>
  <c r="L570" i="2"/>
  <c r="K570" i="2"/>
  <c r="J570" i="2"/>
  <c r="I570" i="2"/>
  <c r="H570" i="2"/>
  <c r="G570" i="2"/>
  <c r="F570" i="2"/>
  <c r="E570" i="2"/>
  <c r="D570" i="2"/>
  <c r="O569" i="2"/>
  <c r="N569" i="2"/>
  <c r="M569" i="2"/>
  <c r="L569" i="2"/>
  <c r="K569" i="2"/>
  <c r="J569" i="2"/>
  <c r="I569" i="2"/>
  <c r="H569" i="2"/>
  <c r="G569" i="2"/>
  <c r="F569" i="2"/>
  <c r="E569" i="2"/>
  <c r="D569" i="2"/>
  <c r="O568" i="2"/>
  <c r="N568" i="2"/>
  <c r="M568" i="2"/>
  <c r="L568" i="2"/>
  <c r="K568" i="2"/>
  <c r="J568" i="2"/>
  <c r="I568" i="2"/>
  <c r="H568" i="2"/>
  <c r="G568" i="2"/>
  <c r="F568" i="2"/>
  <c r="E568" i="2"/>
  <c r="D568" i="2"/>
  <c r="O567" i="2"/>
  <c r="N567" i="2"/>
  <c r="M567" i="2"/>
  <c r="L567" i="2"/>
  <c r="K567" i="2"/>
  <c r="J567" i="2"/>
  <c r="I567" i="2"/>
  <c r="H567" i="2"/>
  <c r="G567" i="2"/>
  <c r="F567" i="2"/>
  <c r="E567" i="2"/>
  <c r="D567" i="2"/>
  <c r="O566" i="2"/>
  <c r="N566" i="2"/>
  <c r="M566" i="2"/>
  <c r="L566" i="2"/>
  <c r="K566" i="2"/>
  <c r="J566" i="2"/>
  <c r="I566" i="2"/>
  <c r="H566" i="2"/>
  <c r="G566" i="2"/>
  <c r="F566" i="2"/>
  <c r="E566" i="2"/>
  <c r="D566" i="2"/>
  <c r="O565" i="2"/>
  <c r="N565" i="2"/>
  <c r="M565" i="2"/>
  <c r="L565" i="2"/>
  <c r="K565" i="2"/>
  <c r="J565" i="2"/>
  <c r="I565" i="2"/>
  <c r="H565" i="2"/>
  <c r="G565" i="2"/>
  <c r="F565" i="2"/>
  <c r="E565" i="2"/>
  <c r="D565" i="2"/>
  <c r="O564" i="2"/>
  <c r="N564" i="2"/>
  <c r="M564" i="2"/>
  <c r="L564" i="2"/>
  <c r="K564" i="2"/>
  <c r="J564" i="2"/>
  <c r="I564" i="2"/>
  <c r="H564" i="2"/>
  <c r="G564" i="2"/>
  <c r="F564" i="2"/>
  <c r="E564" i="2"/>
  <c r="D564" i="2"/>
  <c r="O563" i="2"/>
  <c r="N563" i="2"/>
  <c r="M563" i="2"/>
  <c r="L563" i="2"/>
  <c r="K563" i="2"/>
  <c r="J563" i="2"/>
  <c r="I563" i="2"/>
  <c r="H563" i="2"/>
  <c r="G563" i="2"/>
  <c r="F563" i="2"/>
  <c r="E563" i="2"/>
  <c r="D563" i="2"/>
  <c r="O562" i="2"/>
  <c r="N562" i="2"/>
  <c r="M562" i="2"/>
  <c r="L562" i="2"/>
  <c r="K562" i="2"/>
  <c r="J562" i="2"/>
  <c r="I562" i="2"/>
  <c r="H562" i="2"/>
  <c r="G562" i="2"/>
  <c r="F562" i="2"/>
  <c r="E562" i="2"/>
  <c r="D562" i="2"/>
  <c r="O561" i="2"/>
  <c r="N561" i="2"/>
  <c r="M561" i="2"/>
  <c r="L561" i="2"/>
  <c r="K561" i="2"/>
  <c r="J561" i="2"/>
  <c r="I561" i="2"/>
  <c r="H561" i="2"/>
  <c r="G561" i="2"/>
  <c r="F561" i="2"/>
  <c r="E561" i="2"/>
  <c r="D561" i="2"/>
  <c r="O560" i="2"/>
  <c r="N560" i="2"/>
  <c r="M560" i="2"/>
  <c r="L560" i="2"/>
  <c r="K560" i="2"/>
  <c r="J560" i="2"/>
  <c r="I560" i="2"/>
  <c r="H560" i="2"/>
  <c r="G560" i="2"/>
  <c r="F560" i="2"/>
  <c r="E560" i="2"/>
  <c r="D560" i="2"/>
  <c r="O559" i="2"/>
  <c r="N559" i="2"/>
  <c r="M559" i="2"/>
  <c r="L559" i="2"/>
  <c r="K559" i="2"/>
  <c r="J559" i="2"/>
  <c r="I559" i="2"/>
  <c r="H559" i="2"/>
  <c r="G559" i="2"/>
  <c r="F559" i="2"/>
  <c r="E559" i="2"/>
  <c r="D559" i="2"/>
  <c r="O558" i="2"/>
  <c r="N558" i="2"/>
  <c r="M558" i="2"/>
  <c r="L558" i="2"/>
  <c r="K558" i="2"/>
  <c r="J558" i="2"/>
  <c r="I558" i="2"/>
  <c r="H558" i="2"/>
  <c r="G558" i="2"/>
  <c r="F558" i="2"/>
  <c r="E558" i="2"/>
  <c r="D558" i="2"/>
  <c r="O556" i="2"/>
  <c r="O557" i="2" s="1"/>
  <c r="N556" i="2"/>
  <c r="N557" i="2" s="1"/>
  <c r="M556" i="2"/>
  <c r="L556" i="2"/>
  <c r="K556" i="2"/>
  <c r="K557" i="2" s="1"/>
  <c r="J556" i="2"/>
  <c r="H556" i="2"/>
  <c r="G556" i="2"/>
  <c r="G557" i="2" s="1"/>
  <c r="F556" i="2"/>
  <c r="F557" i="2" s="1"/>
  <c r="E556" i="2"/>
  <c r="E557" i="2" s="1"/>
  <c r="D556" i="2"/>
  <c r="D557" i="2" s="1"/>
  <c r="O554" i="2"/>
  <c r="N554" i="2"/>
  <c r="M554" i="2"/>
  <c r="L554" i="2"/>
  <c r="K554" i="2"/>
  <c r="J554" i="2"/>
  <c r="H554" i="2"/>
  <c r="G554" i="2"/>
  <c r="F554" i="2"/>
  <c r="E554" i="2"/>
  <c r="D554" i="2"/>
  <c r="O552" i="2"/>
  <c r="N552" i="2"/>
  <c r="M552" i="2"/>
  <c r="L552" i="2"/>
  <c r="K552" i="2"/>
  <c r="J552" i="2"/>
  <c r="H552" i="2"/>
  <c r="G552" i="2"/>
  <c r="F552" i="2"/>
  <c r="E552" i="2"/>
  <c r="D552" i="2"/>
  <c r="O550" i="2"/>
  <c r="N550" i="2"/>
  <c r="M550" i="2"/>
  <c r="L550" i="2"/>
  <c r="K550" i="2"/>
  <c r="J550" i="2"/>
  <c r="H550" i="2"/>
  <c r="G550" i="2"/>
  <c r="F550" i="2"/>
  <c r="E550" i="2"/>
  <c r="D550" i="2"/>
  <c r="O549" i="2"/>
  <c r="O555" i="2" s="1"/>
  <c r="N549" i="2"/>
  <c r="N553" i="2" s="1"/>
  <c r="M549" i="2"/>
  <c r="M555" i="2" s="1"/>
  <c r="L549" i="2"/>
  <c r="K549" i="2"/>
  <c r="K555" i="2" s="1"/>
  <c r="J549" i="2"/>
  <c r="H549" i="2"/>
  <c r="G549" i="2"/>
  <c r="F549" i="2"/>
  <c r="E549" i="2"/>
  <c r="D591" i="2"/>
  <c r="M557" i="2" l="1"/>
  <c r="J557" i="2"/>
  <c r="L557" i="2"/>
  <c r="L555" i="2"/>
  <c r="J551" i="2"/>
  <c r="F553" i="2"/>
  <c r="E555" i="2"/>
  <c r="H555" i="2"/>
  <c r="H557" i="2"/>
  <c r="G555" i="2"/>
  <c r="D555" i="2"/>
  <c r="F551" i="2"/>
  <c r="N551" i="2"/>
  <c r="G553" i="2"/>
  <c r="O553" i="2"/>
  <c r="H551" i="2"/>
  <c r="H553" i="2"/>
  <c r="J553" i="2"/>
  <c r="J555" i="2"/>
  <c r="K551" i="2"/>
  <c r="K553" i="2"/>
  <c r="D551" i="2"/>
  <c r="L551" i="2"/>
  <c r="D553" i="2"/>
  <c r="L553" i="2"/>
  <c r="E551" i="2"/>
  <c r="M551" i="2"/>
  <c r="E553" i="2"/>
  <c r="M553" i="2"/>
  <c r="F555" i="2"/>
  <c r="N555" i="2"/>
  <c r="G551" i="2"/>
  <c r="O551" i="2"/>
  <c r="O1385" i="2" l="1"/>
  <c r="O1384" i="2"/>
  <c r="O1383" i="2"/>
  <c r="O1382" i="2"/>
  <c r="O1381" i="2"/>
  <c r="O1380" i="2"/>
  <c r="O1379" i="2"/>
  <c r="O1378" i="2"/>
  <c r="O1377" i="2"/>
  <c r="O1376" i="2"/>
  <c r="O1375" i="2"/>
  <c r="O1374" i="2"/>
  <c r="O1373" i="2"/>
  <c r="O1372" i="2"/>
  <c r="O1371" i="2"/>
  <c r="O1370" i="2"/>
  <c r="O1369" i="2"/>
  <c r="O1368" i="2"/>
  <c r="O1367" i="2"/>
  <c r="O1366" i="2"/>
  <c r="O1365" i="2"/>
  <c r="O1364" i="2"/>
  <c r="O1363" i="2"/>
  <c r="O1362" i="2"/>
  <c r="O1361" i="2"/>
  <c r="O1360" i="2"/>
  <c r="O1359" i="2"/>
  <c r="O1358" i="2"/>
  <c r="O1357" i="2"/>
  <c r="O1356" i="2"/>
  <c r="O1354" i="2"/>
  <c r="O1352" i="2"/>
  <c r="O1350" i="2"/>
  <c r="O1348" i="2"/>
  <c r="O1347" i="2"/>
  <c r="O1343" i="2"/>
  <c r="O1342" i="2"/>
  <c r="O1341" i="2"/>
  <c r="O1340" i="2"/>
  <c r="O1339" i="2"/>
  <c r="O1338" i="2"/>
  <c r="O1337" i="2"/>
  <c r="O1336" i="2"/>
  <c r="O1335" i="2"/>
  <c r="O1334" i="2"/>
  <c r="O1333" i="2"/>
  <c r="O1332" i="2"/>
  <c r="O1331" i="2"/>
  <c r="O1330" i="2"/>
  <c r="O1329" i="2"/>
  <c r="O1328" i="2"/>
  <c r="O1327" i="2"/>
  <c r="O1326" i="2"/>
  <c r="O1325" i="2"/>
  <c r="O1324" i="2"/>
  <c r="O1323" i="2"/>
  <c r="O1322" i="2"/>
  <c r="O1321" i="2"/>
  <c r="O1320" i="2"/>
  <c r="O1319" i="2"/>
  <c r="O1318" i="2"/>
  <c r="O1317" i="2"/>
  <c r="O1316" i="2"/>
  <c r="O1315" i="2"/>
  <c r="O1314" i="2"/>
  <c r="O1312" i="2"/>
  <c r="O1310" i="2"/>
  <c r="O1308" i="2"/>
  <c r="O1306" i="2"/>
  <c r="O1305" i="2"/>
  <c r="O1301" i="2"/>
  <c r="O1300" i="2"/>
  <c r="O1299" i="2"/>
  <c r="O1298" i="2"/>
  <c r="O1297" i="2"/>
  <c r="O1296" i="2"/>
  <c r="O1295" i="2"/>
  <c r="O1294" i="2"/>
  <c r="O1293" i="2"/>
  <c r="O1292" i="2"/>
  <c r="O1291" i="2"/>
  <c r="O1290" i="2"/>
  <c r="O1289" i="2"/>
  <c r="O1288" i="2"/>
  <c r="O1287" i="2"/>
  <c r="O1286" i="2"/>
  <c r="O1285" i="2"/>
  <c r="O1284" i="2"/>
  <c r="O1283" i="2"/>
  <c r="O1282" i="2"/>
  <c r="O1281" i="2"/>
  <c r="O1280" i="2"/>
  <c r="O1279" i="2"/>
  <c r="O1278" i="2"/>
  <c r="O1277" i="2"/>
  <c r="O1276" i="2"/>
  <c r="O1275" i="2"/>
  <c r="O1274" i="2"/>
  <c r="O1273" i="2"/>
  <c r="O1272" i="2"/>
  <c r="O1270" i="2"/>
  <c r="O1268" i="2"/>
  <c r="O1266" i="2"/>
  <c r="O1264" i="2"/>
  <c r="O1263" i="2"/>
  <c r="O1259" i="2"/>
  <c r="O1258" i="2"/>
  <c r="O1257" i="2"/>
  <c r="O1256" i="2"/>
  <c r="O1255" i="2"/>
  <c r="O1254" i="2"/>
  <c r="O1253" i="2"/>
  <c r="O1252" i="2"/>
  <c r="O1251" i="2"/>
  <c r="O1250" i="2"/>
  <c r="O1249" i="2"/>
  <c r="O1248" i="2"/>
  <c r="O1247" i="2"/>
  <c r="O1246" i="2"/>
  <c r="O1245" i="2"/>
  <c r="O1244" i="2"/>
  <c r="O1243" i="2"/>
  <c r="O1242" i="2"/>
  <c r="O1241" i="2"/>
  <c r="O1240" i="2"/>
  <c r="O1239" i="2"/>
  <c r="O1238" i="2"/>
  <c r="O1237" i="2"/>
  <c r="O1236" i="2"/>
  <c r="O1235" i="2"/>
  <c r="O1234" i="2"/>
  <c r="O1233" i="2"/>
  <c r="O1232" i="2"/>
  <c r="O1231" i="2"/>
  <c r="O1230" i="2"/>
  <c r="O1228" i="2"/>
  <c r="O1226" i="2"/>
  <c r="O1224" i="2"/>
  <c r="O1222" i="2"/>
  <c r="O1221" i="2"/>
  <c r="O1217" i="2"/>
  <c r="O1216" i="2"/>
  <c r="O1215" i="2"/>
  <c r="O1214" i="2"/>
  <c r="O1213" i="2"/>
  <c r="O1212" i="2"/>
  <c r="O1211" i="2"/>
  <c r="O1210" i="2"/>
  <c r="O1209" i="2"/>
  <c r="O1208" i="2"/>
  <c r="O1207" i="2"/>
  <c r="O1206" i="2"/>
  <c r="O1205" i="2"/>
  <c r="O1204" i="2"/>
  <c r="O1203" i="2"/>
  <c r="O1202" i="2"/>
  <c r="O1201" i="2"/>
  <c r="O1200" i="2"/>
  <c r="O1199" i="2"/>
  <c r="O1198" i="2"/>
  <c r="O1197" i="2"/>
  <c r="O1196" i="2"/>
  <c r="O1195" i="2"/>
  <c r="O1194" i="2"/>
  <c r="O1193" i="2"/>
  <c r="O1192" i="2"/>
  <c r="O1191" i="2"/>
  <c r="O1190" i="2"/>
  <c r="O1189" i="2"/>
  <c r="O1188" i="2"/>
  <c r="O1186" i="2"/>
  <c r="O1184" i="2"/>
  <c r="O1182" i="2"/>
  <c r="O1180" i="2"/>
  <c r="O1179" i="2"/>
  <c r="O1175" i="2"/>
  <c r="O1174" i="2"/>
  <c r="O1173" i="2"/>
  <c r="O1172" i="2"/>
  <c r="O1171" i="2"/>
  <c r="O1170" i="2"/>
  <c r="O1169" i="2"/>
  <c r="O1168" i="2"/>
  <c r="O1167" i="2"/>
  <c r="O1166" i="2"/>
  <c r="O1165" i="2"/>
  <c r="O1164" i="2"/>
  <c r="O1163" i="2"/>
  <c r="O1162" i="2"/>
  <c r="O1161" i="2"/>
  <c r="O1160" i="2"/>
  <c r="O1159" i="2"/>
  <c r="O1158" i="2"/>
  <c r="O1157" i="2"/>
  <c r="O1156" i="2"/>
  <c r="O1155" i="2"/>
  <c r="O1154" i="2"/>
  <c r="O1153" i="2"/>
  <c r="O1152" i="2"/>
  <c r="O1151" i="2"/>
  <c r="O1150" i="2"/>
  <c r="O1149" i="2"/>
  <c r="O1148" i="2"/>
  <c r="O1147" i="2"/>
  <c r="O1146" i="2"/>
  <c r="O1144" i="2"/>
  <c r="O1142" i="2"/>
  <c r="O1140" i="2"/>
  <c r="O1138" i="2"/>
  <c r="O1137" i="2"/>
  <c r="O1133" i="2"/>
  <c r="O1132" i="2"/>
  <c r="O1131" i="2"/>
  <c r="O1130" i="2"/>
  <c r="O1129" i="2"/>
  <c r="O1128" i="2"/>
  <c r="O1127" i="2"/>
  <c r="O1126" i="2"/>
  <c r="O1125" i="2"/>
  <c r="O1124" i="2"/>
  <c r="O1123" i="2"/>
  <c r="O1122" i="2"/>
  <c r="O1121" i="2"/>
  <c r="O1120" i="2"/>
  <c r="O1119" i="2"/>
  <c r="O1118" i="2"/>
  <c r="O1117" i="2"/>
  <c r="O1116" i="2"/>
  <c r="O1115" i="2"/>
  <c r="O1114" i="2"/>
  <c r="O1113" i="2"/>
  <c r="O1112" i="2"/>
  <c r="O1111" i="2"/>
  <c r="O1110" i="2"/>
  <c r="O1109" i="2"/>
  <c r="O1108" i="2"/>
  <c r="O1107" i="2"/>
  <c r="O1106" i="2"/>
  <c r="O1105" i="2"/>
  <c r="O1104" i="2"/>
  <c r="O1102" i="2"/>
  <c r="O1100" i="2"/>
  <c r="O1098" i="2"/>
  <c r="O1096" i="2"/>
  <c r="O1095" i="2"/>
  <c r="O1091" i="2"/>
  <c r="O1090" i="2"/>
  <c r="O1089" i="2"/>
  <c r="O1088" i="2"/>
  <c r="O1087" i="2"/>
  <c r="O1086" i="2"/>
  <c r="O1085" i="2"/>
  <c r="O1084" i="2"/>
  <c r="O1083" i="2"/>
  <c r="O1082" i="2"/>
  <c r="O1081" i="2"/>
  <c r="O1080" i="2"/>
  <c r="O1079" i="2"/>
  <c r="O1078" i="2"/>
  <c r="O1077" i="2"/>
  <c r="O1076" i="2"/>
  <c r="O1075" i="2"/>
  <c r="O1074" i="2"/>
  <c r="O1073" i="2"/>
  <c r="O1072" i="2"/>
  <c r="O1071" i="2"/>
  <c r="O1070" i="2"/>
  <c r="O1069" i="2"/>
  <c r="O1068" i="2"/>
  <c r="O1067" i="2"/>
  <c r="O1066" i="2"/>
  <c r="O1065" i="2"/>
  <c r="O1064" i="2"/>
  <c r="O1063" i="2"/>
  <c r="O1062" i="2"/>
  <c r="O1060" i="2"/>
  <c r="O1058" i="2"/>
  <c r="O1056" i="2"/>
  <c r="O1054" i="2"/>
  <c r="O1053" i="2"/>
  <c r="O1049" i="2"/>
  <c r="O1048" i="2"/>
  <c r="O1047" i="2"/>
  <c r="O1046" i="2"/>
  <c r="O1045" i="2"/>
  <c r="O1044" i="2"/>
  <c r="O1043" i="2"/>
  <c r="O1042" i="2"/>
  <c r="O1041" i="2"/>
  <c r="O1040" i="2"/>
  <c r="O1039" i="2"/>
  <c r="O1038" i="2"/>
  <c r="O1037" i="2"/>
  <c r="O1036" i="2"/>
  <c r="O1035" i="2"/>
  <c r="O1034" i="2"/>
  <c r="O1033" i="2"/>
  <c r="O1032" i="2"/>
  <c r="O1031" i="2"/>
  <c r="O1030" i="2"/>
  <c r="O1029" i="2"/>
  <c r="O1028" i="2"/>
  <c r="O1027" i="2"/>
  <c r="O1026" i="2"/>
  <c r="O1025" i="2"/>
  <c r="O1024" i="2"/>
  <c r="O1023" i="2"/>
  <c r="O1022" i="2"/>
  <c r="O1021" i="2"/>
  <c r="O1020" i="2"/>
  <c r="O1018" i="2"/>
  <c r="O1016" i="2"/>
  <c r="O1014" i="2"/>
  <c r="O1012" i="2"/>
  <c r="O1011" i="2"/>
  <c r="O1007" i="2"/>
  <c r="O1006" i="2"/>
  <c r="O1005" i="2"/>
  <c r="O1004" i="2"/>
  <c r="O1003" i="2"/>
  <c r="O1002" i="2"/>
  <c r="O1001" i="2"/>
  <c r="O1000" i="2"/>
  <c r="O999" i="2"/>
  <c r="O998" i="2"/>
  <c r="O997" i="2"/>
  <c r="O996" i="2"/>
  <c r="O995" i="2"/>
  <c r="O994" i="2"/>
  <c r="O993" i="2"/>
  <c r="O992" i="2"/>
  <c r="O991" i="2"/>
  <c r="O990" i="2"/>
  <c r="O989" i="2"/>
  <c r="O988" i="2"/>
  <c r="O987" i="2"/>
  <c r="O986" i="2"/>
  <c r="O985" i="2"/>
  <c r="O984" i="2"/>
  <c r="O983" i="2"/>
  <c r="O982" i="2"/>
  <c r="O981" i="2"/>
  <c r="O980" i="2"/>
  <c r="O979" i="2"/>
  <c r="O978" i="2"/>
  <c r="O976" i="2"/>
  <c r="O974" i="2"/>
  <c r="O972" i="2"/>
  <c r="O970" i="2"/>
  <c r="O969" i="2"/>
  <c r="O965" i="2"/>
  <c r="O964" i="2"/>
  <c r="O963" i="2"/>
  <c r="O962" i="2"/>
  <c r="O961" i="2"/>
  <c r="O960" i="2"/>
  <c r="O959" i="2"/>
  <c r="O958" i="2"/>
  <c r="O957" i="2"/>
  <c r="O956" i="2"/>
  <c r="O955" i="2"/>
  <c r="O954" i="2"/>
  <c r="O953" i="2"/>
  <c r="O952" i="2"/>
  <c r="O951" i="2"/>
  <c r="O950" i="2"/>
  <c r="O949" i="2"/>
  <c r="O948" i="2"/>
  <c r="O947" i="2"/>
  <c r="O946" i="2"/>
  <c r="O945" i="2"/>
  <c r="O944" i="2"/>
  <c r="O943" i="2"/>
  <c r="O942" i="2"/>
  <c r="O941" i="2"/>
  <c r="O940" i="2"/>
  <c r="O939" i="2"/>
  <c r="O938" i="2"/>
  <c r="O937" i="2"/>
  <c r="O936" i="2"/>
  <c r="O934" i="2"/>
  <c r="O932" i="2"/>
  <c r="O930" i="2"/>
  <c r="O928" i="2"/>
  <c r="O927" i="2"/>
  <c r="O923" i="2"/>
  <c r="O922" i="2"/>
  <c r="O921" i="2"/>
  <c r="O920" i="2"/>
  <c r="O919" i="2"/>
  <c r="O918" i="2"/>
  <c r="O917" i="2"/>
  <c r="O916" i="2"/>
  <c r="O915" i="2"/>
  <c r="O914" i="2"/>
  <c r="O913" i="2"/>
  <c r="O912" i="2"/>
  <c r="O911" i="2"/>
  <c r="O910" i="2"/>
  <c r="O909" i="2"/>
  <c r="O908" i="2"/>
  <c r="O907" i="2"/>
  <c r="O906" i="2"/>
  <c r="O905" i="2"/>
  <c r="O904" i="2"/>
  <c r="O903" i="2"/>
  <c r="O902" i="2"/>
  <c r="O901" i="2"/>
  <c r="O900" i="2"/>
  <c r="O899" i="2"/>
  <c r="O898" i="2"/>
  <c r="O897" i="2"/>
  <c r="O896" i="2"/>
  <c r="O895" i="2"/>
  <c r="O894" i="2"/>
  <c r="O892" i="2"/>
  <c r="O890" i="2"/>
  <c r="O888" i="2"/>
  <c r="O886" i="2"/>
  <c r="O885" i="2"/>
  <c r="O881" i="2"/>
  <c r="O880" i="2"/>
  <c r="O879" i="2"/>
  <c r="O878" i="2"/>
  <c r="O877" i="2"/>
  <c r="O876" i="2"/>
  <c r="O875" i="2"/>
  <c r="O874" i="2"/>
  <c r="O873" i="2"/>
  <c r="O872" i="2"/>
  <c r="O871" i="2"/>
  <c r="O870" i="2"/>
  <c r="O869" i="2"/>
  <c r="O868" i="2"/>
  <c r="O867" i="2"/>
  <c r="O866" i="2"/>
  <c r="O865" i="2"/>
  <c r="O864" i="2"/>
  <c r="O863" i="2"/>
  <c r="O862" i="2"/>
  <c r="O861" i="2"/>
  <c r="O860" i="2"/>
  <c r="O859" i="2"/>
  <c r="O858" i="2"/>
  <c r="O857" i="2"/>
  <c r="O856" i="2"/>
  <c r="O855" i="2"/>
  <c r="O854" i="2"/>
  <c r="O853" i="2"/>
  <c r="O852" i="2"/>
  <c r="O850" i="2"/>
  <c r="O848" i="2"/>
  <c r="O846" i="2"/>
  <c r="O844" i="2"/>
  <c r="O843" i="2"/>
  <c r="O839" i="2"/>
  <c r="O838" i="2"/>
  <c r="O837" i="2"/>
  <c r="O836" i="2"/>
  <c r="O835" i="2"/>
  <c r="O834" i="2"/>
  <c r="O833" i="2"/>
  <c r="O832" i="2"/>
  <c r="O831" i="2"/>
  <c r="O830" i="2"/>
  <c r="O829" i="2"/>
  <c r="O828" i="2"/>
  <c r="O827" i="2"/>
  <c r="O826" i="2"/>
  <c r="O825" i="2"/>
  <c r="O824" i="2"/>
  <c r="O823" i="2"/>
  <c r="O822" i="2"/>
  <c r="O821" i="2"/>
  <c r="O820" i="2"/>
  <c r="O819" i="2"/>
  <c r="O818" i="2"/>
  <c r="O817" i="2"/>
  <c r="O816" i="2"/>
  <c r="O815" i="2"/>
  <c r="O814" i="2"/>
  <c r="O813" i="2"/>
  <c r="O812" i="2"/>
  <c r="O811" i="2"/>
  <c r="O810" i="2"/>
  <c r="O808" i="2"/>
  <c r="O806" i="2"/>
  <c r="O804" i="2"/>
  <c r="O802" i="2"/>
  <c r="O801" i="2"/>
  <c r="O797" i="2"/>
  <c r="O796" i="2"/>
  <c r="O795" i="2"/>
  <c r="O794" i="2"/>
  <c r="O793" i="2"/>
  <c r="O792" i="2"/>
  <c r="O791" i="2"/>
  <c r="O790" i="2"/>
  <c r="O789" i="2"/>
  <c r="O788" i="2"/>
  <c r="O787" i="2"/>
  <c r="O786" i="2"/>
  <c r="O785" i="2"/>
  <c r="O784" i="2"/>
  <c r="O783" i="2"/>
  <c r="O782" i="2"/>
  <c r="O781" i="2"/>
  <c r="O780" i="2"/>
  <c r="O779" i="2"/>
  <c r="O778" i="2"/>
  <c r="O777" i="2"/>
  <c r="O776" i="2"/>
  <c r="O775" i="2"/>
  <c r="O774" i="2"/>
  <c r="O773" i="2"/>
  <c r="O772" i="2"/>
  <c r="O771" i="2"/>
  <c r="O770" i="2"/>
  <c r="O769" i="2"/>
  <c r="O768" i="2"/>
  <c r="O766" i="2"/>
  <c r="O764" i="2"/>
  <c r="O762" i="2"/>
  <c r="O760" i="2"/>
  <c r="O759" i="2"/>
  <c r="O755" i="2"/>
  <c r="O754" i="2"/>
  <c r="O753" i="2"/>
  <c r="O752" i="2"/>
  <c r="O751" i="2"/>
  <c r="O750" i="2"/>
  <c r="O749" i="2"/>
  <c r="O748" i="2"/>
  <c r="O747" i="2"/>
  <c r="O746" i="2"/>
  <c r="O745" i="2"/>
  <c r="O744" i="2"/>
  <c r="O743" i="2"/>
  <c r="O742" i="2"/>
  <c r="O741" i="2"/>
  <c r="O740" i="2"/>
  <c r="O739" i="2"/>
  <c r="O738" i="2"/>
  <c r="O737" i="2"/>
  <c r="O736" i="2"/>
  <c r="O735" i="2"/>
  <c r="O734" i="2"/>
  <c r="O733" i="2"/>
  <c r="O732" i="2"/>
  <c r="O731" i="2"/>
  <c r="O730" i="2"/>
  <c r="O729" i="2"/>
  <c r="O728" i="2"/>
  <c r="O727" i="2"/>
  <c r="O726" i="2"/>
  <c r="O724" i="2"/>
  <c r="O722" i="2"/>
  <c r="O720" i="2"/>
  <c r="O718" i="2"/>
  <c r="O717" i="2"/>
  <c r="O713" i="2"/>
  <c r="O712" i="2"/>
  <c r="O711" i="2"/>
  <c r="O710" i="2"/>
  <c r="O709" i="2"/>
  <c r="O708" i="2"/>
  <c r="O707" i="2"/>
  <c r="O706" i="2"/>
  <c r="O705" i="2"/>
  <c r="O704" i="2"/>
  <c r="O703" i="2"/>
  <c r="O702" i="2"/>
  <c r="O701" i="2"/>
  <c r="O700" i="2"/>
  <c r="O699" i="2"/>
  <c r="O698" i="2"/>
  <c r="O697" i="2"/>
  <c r="O696" i="2"/>
  <c r="O695" i="2"/>
  <c r="O694" i="2"/>
  <c r="O693" i="2"/>
  <c r="O692" i="2"/>
  <c r="O691" i="2"/>
  <c r="O690" i="2"/>
  <c r="O689" i="2"/>
  <c r="O688" i="2"/>
  <c r="O687" i="2"/>
  <c r="O686" i="2"/>
  <c r="O685" i="2"/>
  <c r="O684" i="2"/>
  <c r="O682" i="2"/>
  <c r="O680" i="2"/>
  <c r="O678" i="2"/>
  <c r="O676" i="2"/>
  <c r="O675" i="2"/>
  <c r="O671" i="2"/>
  <c r="O670" i="2"/>
  <c r="O669" i="2"/>
  <c r="O668" i="2"/>
  <c r="O667" i="2"/>
  <c r="O666" i="2"/>
  <c r="O665" i="2"/>
  <c r="O664" i="2"/>
  <c r="O663" i="2"/>
  <c r="O662" i="2"/>
  <c r="O661" i="2"/>
  <c r="O660" i="2"/>
  <c r="O659" i="2"/>
  <c r="O658" i="2"/>
  <c r="O657" i="2"/>
  <c r="O656" i="2"/>
  <c r="O655" i="2"/>
  <c r="O654" i="2"/>
  <c r="O653" i="2"/>
  <c r="O652" i="2"/>
  <c r="O651" i="2"/>
  <c r="O650" i="2"/>
  <c r="O649" i="2"/>
  <c r="O648" i="2"/>
  <c r="O647" i="2"/>
  <c r="O646" i="2"/>
  <c r="O645" i="2"/>
  <c r="O644" i="2"/>
  <c r="O643" i="2"/>
  <c r="O642" i="2"/>
  <c r="O640" i="2"/>
  <c r="O638" i="2"/>
  <c r="O636" i="2"/>
  <c r="O634" i="2"/>
  <c r="O633" i="2"/>
  <c r="O629" i="2"/>
  <c r="O628" i="2"/>
  <c r="O627" i="2"/>
  <c r="O626" i="2"/>
  <c r="O625" i="2"/>
  <c r="O624" i="2"/>
  <c r="O623" i="2"/>
  <c r="O622" i="2"/>
  <c r="O621" i="2"/>
  <c r="O620" i="2"/>
  <c r="O619" i="2"/>
  <c r="O618" i="2"/>
  <c r="O617" i="2"/>
  <c r="O616" i="2"/>
  <c r="O615" i="2"/>
  <c r="O614" i="2"/>
  <c r="O613" i="2"/>
  <c r="O612" i="2"/>
  <c r="O611" i="2"/>
  <c r="O610" i="2"/>
  <c r="O609" i="2"/>
  <c r="O608" i="2"/>
  <c r="O607" i="2"/>
  <c r="O606" i="2"/>
  <c r="O605" i="2"/>
  <c r="O604" i="2"/>
  <c r="O603" i="2"/>
  <c r="O602" i="2"/>
  <c r="O601" i="2"/>
  <c r="O600" i="2"/>
  <c r="O598" i="2"/>
  <c r="O596" i="2"/>
  <c r="O594" i="2"/>
  <c r="O592" i="2"/>
  <c r="O591" i="2"/>
  <c r="O545" i="2"/>
  <c r="O544" i="2"/>
  <c r="O543" i="2"/>
  <c r="O542" i="2"/>
  <c r="O541" i="2"/>
  <c r="O540" i="2"/>
  <c r="O539" i="2"/>
  <c r="O538" i="2"/>
  <c r="O537" i="2"/>
  <c r="O536" i="2"/>
  <c r="O535" i="2"/>
  <c r="O534" i="2"/>
  <c r="O533" i="2"/>
  <c r="O532" i="2"/>
  <c r="O531" i="2"/>
  <c r="O530" i="2"/>
  <c r="O529" i="2"/>
  <c r="O528" i="2"/>
  <c r="O527" i="2"/>
  <c r="O526" i="2"/>
  <c r="O525" i="2"/>
  <c r="O524" i="2"/>
  <c r="O523" i="2"/>
  <c r="O522" i="2"/>
  <c r="O521" i="2"/>
  <c r="O520" i="2"/>
  <c r="O519" i="2"/>
  <c r="O518" i="2"/>
  <c r="O517" i="2"/>
  <c r="O516" i="2"/>
  <c r="O514" i="2"/>
  <c r="O512" i="2"/>
  <c r="O510" i="2"/>
  <c r="O508" i="2"/>
  <c r="O507" i="2"/>
  <c r="O503" i="2"/>
  <c r="O502" i="2"/>
  <c r="O501" i="2"/>
  <c r="O500" i="2"/>
  <c r="O499" i="2"/>
  <c r="O498" i="2"/>
  <c r="O497" i="2"/>
  <c r="O496" i="2"/>
  <c r="O495" i="2"/>
  <c r="O494" i="2"/>
  <c r="O493" i="2"/>
  <c r="O492" i="2"/>
  <c r="O491" i="2"/>
  <c r="O490" i="2"/>
  <c r="O489" i="2"/>
  <c r="O488" i="2"/>
  <c r="O487" i="2"/>
  <c r="O486" i="2"/>
  <c r="O485" i="2"/>
  <c r="O484" i="2"/>
  <c r="O483" i="2"/>
  <c r="O482" i="2"/>
  <c r="O481" i="2"/>
  <c r="O480" i="2"/>
  <c r="O479" i="2"/>
  <c r="O478" i="2"/>
  <c r="O477" i="2"/>
  <c r="O476" i="2"/>
  <c r="O475" i="2"/>
  <c r="O474" i="2"/>
  <c r="O472" i="2"/>
  <c r="O470" i="2"/>
  <c r="O468" i="2"/>
  <c r="O466" i="2"/>
  <c r="O465" i="2"/>
  <c r="O461" i="2"/>
  <c r="O460" i="2"/>
  <c r="O459" i="2"/>
  <c r="O458" i="2"/>
  <c r="O457" i="2"/>
  <c r="O456" i="2"/>
  <c r="O455" i="2"/>
  <c r="O454" i="2"/>
  <c r="O453" i="2"/>
  <c r="O452" i="2"/>
  <c r="O451" i="2"/>
  <c r="O450" i="2"/>
  <c r="O449" i="2"/>
  <c r="O448" i="2"/>
  <c r="O447" i="2"/>
  <c r="O446" i="2"/>
  <c r="O445" i="2"/>
  <c r="O444" i="2"/>
  <c r="O443" i="2"/>
  <c r="O442" i="2"/>
  <c r="O441" i="2"/>
  <c r="O440" i="2"/>
  <c r="O439" i="2"/>
  <c r="O438" i="2"/>
  <c r="O437" i="2"/>
  <c r="O436" i="2"/>
  <c r="O435" i="2"/>
  <c r="O434" i="2"/>
  <c r="O433" i="2"/>
  <c r="O432" i="2"/>
  <c r="O430" i="2"/>
  <c r="O428" i="2"/>
  <c r="O426" i="2"/>
  <c r="O424" i="2"/>
  <c r="O423" i="2"/>
  <c r="O419" i="2"/>
  <c r="O418" i="2"/>
  <c r="O417" i="2"/>
  <c r="O416" i="2"/>
  <c r="O415" i="2"/>
  <c r="O414" i="2"/>
  <c r="O413" i="2"/>
  <c r="O412" i="2"/>
  <c r="O411" i="2"/>
  <c r="O410" i="2"/>
  <c r="O409" i="2"/>
  <c r="O408" i="2"/>
  <c r="O407" i="2"/>
  <c r="O406" i="2"/>
  <c r="O405" i="2"/>
  <c r="O404" i="2"/>
  <c r="O403" i="2"/>
  <c r="O402" i="2"/>
  <c r="O401" i="2"/>
  <c r="O400" i="2"/>
  <c r="O399" i="2"/>
  <c r="O398" i="2"/>
  <c r="O397" i="2"/>
  <c r="O396" i="2"/>
  <c r="O395" i="2"/>
  <c r="O394" i="2"/>
  <c r="O393" i="2"/>
  <c r="O392" i="2"/>
  <c r="O391" i="2"/>
  <c r="O390" i="2"/>
  <c r="O388" i="2"/>
  <c r="O386" i="2"/>
  <c r="O384" i="2"/>
  <c r="O382" i="2"/>
  <c r="O381" i="2"/>
  <c r="O377" i="2"/>
  <c r="O376" i="2"/>
  <c r="O375" i="2"/>
  <c r="O374" i="2"/>
  <c r="O373" i="2"/>
  <c r="O372" i="2"/>
  <c r="O371" i="2"/>
  <c r="O370" i="2"/>
  <c r="O369" i="2"/>
  <c r="O368" i="2"/>
  <c r="O367" i="2"/>
  <c r="O366" i="2"/>
  <c r="O365" i="2"/>
  <c r="O364" i="2"/>
  <c r="O363" i="2"/>
  <c r="O362" i="2"/>
  <c r="O361" i="2"/>
  <c r="O360" i="2"/>
  <c r="O359" i="2"/>
  <c r="O358" i="2"/>
  <c r="O357" i="2"/>
  <c r="O356" i="2"/>
  <c r="O355" i="2"/>
  <c r="O354" i="2"/>
  <c r="O353" i="2"/>
  <c r="O352" i="2"/>
  <c r="O351" i="2"/>
  <c r="O350" i="2"/>
  <c r="O349" i="2"/>
  <c r="O348" i="2"/>
  <c r="O346" i="2"/>
  <c r="O344" i="2"/>
  <c r="O342" i="2"/>
  <c r="O340" i="2"/>
  <c r="O339" i="2"/>
  <c r="O335" i="2"/>
  <c r="O334" i="2"/>
  <c r="O333" i="2"/>
  <c r="O332" i="2"/>
  <c r="O331" i="2"/>
  <c r="O330" i="2"/>
  <c r="O329" i="2"/>
  <c r="O328" i="2"/>
  <c r="O327" i="2"/>
  <c r="O326" i="2"/>
  <c r="O325" i="2"/>
  <c r="O324" i="2"/>
  <c r="O323" i="2"/>
  <c r="O322" i="2"/>
  <c r="O321" i="2"/>
  <c r="O320" i="2"/>
  <c r="O319" i="2"/>
  <c r="O318" i="2"/>
  <c r="O317" i="2"/>
  <c r="O316" i="2"/>
  <c r="O315" i="2"/>
  <c r="O314" i="2"/>
  <c r="O313" i="2"/>
  <c r="O312" i="2"/>
  <c r="O311" i="2"/>
  <c r="O310" i="2"/>
  <c r="O309" i="2"/>
  <c r="O308" i="2"/>
  <c r="O307" i="2"/>
  <c r="O306" i="2"/>
  <c r="O304" i="2"/>
  <c r="O302" i="2"/>
  <c r="O300" i="2"/>
  <c r="O298" i="2"/>
  <c r="O297" i="2"/>
  <c r="O293" i="2"/>
  <c r="O292" i="2"/>
  <c r="O291" i="2"/>
  <c r="O290" i="2"/>
  <c r="O289" i="2"/>
  <c r="O288" i="2"/>
  <c r="O287" i="2"/>
  <c r="O286" i="2"/>
  <c r="O285" i="2"/>
  <c r="O284" i="2"/>
  <c r="O283" i="2"/>
  <c r="O282" i="2"/>
  <c r="O281" i="2"/>
  <c r="O280" i="2"/>
  <c r="O279" i="2"/>
  <c r="O278" i="2"/>
  <c r="O277" i="2"/>
  <c r="O276" i="2"/>
  <c r="O275" i="2"/>
  <c r="O274" i="2"/>
  <c r="O273" i="2"/>
  <c r="O272" i="2"/>
  <c r="O271" i="2"/>
  <c r="O270" i="2"/>
  <c r="O269" i="2"/>
  <c r="O268" i="2"/>
  <c r="O267" i="2"/>
  <c r="O266" i="2"/>
  <c r="O265" i="2"/>
  <c r="O264" i="2"/>
  <c r="O262" i="2"/>
  <c r="O260" i="2"/>
  <c r="O258" i="2"/>
  <c r="O256" i="2"/>
  <c r="O255" i="2"/>
  <c r="O251" i="2"/>
  <c r="O250" i="2"/>
  <c r="O249" i="2"/>
  <c r="O248" i="2"/>
  <c r="O247" i="2"/>
  <c r="O246" i="2"/>
  <c r="O245" i="2"/>
  <c r="O244" i="2"/>
  <c r="O243" i="2"/>
  <c r="O242" i="2"/>
  <c r="O241" i="2"/>
  <c r="O240" i="2"/>
  <c r="O239" i="2"/>
  <c r="O238" i="2"/>
  <c r="O237" i="2"/>
  <c r="O236" i="2"/>
  <c r="O235" i="2"/>
  <c r="O234" i="2"/>
  <c r="O233" i="2"/>
  <c r="O232" i="2"/>
  <c r="O231" i="2"/>
  <c r="O230" i="2"/>
  <c r="O229" i="2"/>
  <c r="O228" i="2"/>
  <c r="O227" i="2"/>
  <c r="O226" i="2"/>
  <c r="O225" i="2"/>
  <c r="O224" i="2"/>
  <c r="O223" i="2"/>
  <c r="O222" i="2"/>
  <c r="O220" i="2"/>
  <c r="O218" i="2"/>
  <c r="O216" i="2"/>
  <c r="O214" i="2"/>
  <c r="O213" i="2"/>
  <c r="O209" i="2"/>
  <c r="O208" i="2"/>
  <c r="O207" i="2"/>
  <c r="O206" i="2"/>
  <c r="O205" i="2"/>
  <c r="O204" i="2"/>
  <c r="O203" i="2"/>
  <c r="O202" i="2"/>
  <c r="O201" i="2"/>
  <c r="O200" i="2"/>
  <c r="O199" i="2"/>
  <c r="O198" i="2"/>
  <c r="O197" i="2"/>
  <c r="O196" i="2"/>
  <c r="O195" i="2"/>
  <c r="O194" i="2"/>
  <c r="O193" i="2"/>
  <c r="O192" i="2"/>
  <c r="O191" i="2"/>
  <c r="O190" i="2"/>
  <c r="O189" i="2"/>
  <c r="O188" i="2"/>
  <c r="O187" i="2"/>
  <c r="O186" i="2"/>
  <c r="O185" i="2"/>
  <c r="O184" i="2"/>
  <c r="O183" i="2"/>
  <c r="O182" i="2"/>
  <c r="O181" i="2"/>
  <c r="O180" i="2"/>
  <c r="O178" i="2"/>
  <c r="O176" i="2"/>
  <c r="O174" i="2"/>
  <c r="O172" i="2"/>
  <c r="O171" i="2"/>
  <c r="O167" i="2"/>
  <c r="O166" i="2"/>
  <c r="O165" i="2"/>
  <c r="O164" i="2"/>
  <c r="O163" i="2"/>
  <c r="O162" i="2"/>
  <c r="O161" i="2"/>
  <c r="O160" i="2"/>
  <c r="O159" i="2"/>
  <c r="O158" i="2"/>
  <c r="O157" i="2"/>
  <c r="O156" i="2"/>
  <c r="O155" i="2"/>
  <c r="O154" i="2"/>
  <c r="O153" i="2"/>
  <c r="O152" i="2"/>
  <c r="O151" i="2"/>
  <c r="O150" i="2"/>
  <c r="O149" i="2"/>
  <c r="O148" i="2"/>
  <c r="O147" i="2"/>
  <c r="O146" i="2"/>
  <c r="O145" i="2"/>
  <c r="O144" i="2"/>
  <c r="O143" i="2"/>
  <c r="O142" i="2"/>
  <c r="O141" i="2"/>
  <c r="O140" i="2"/>
  <c r="O139" i="2"/>
  <c r="O138" i="2"/>
  <c r="O136" i="2"/>
  <c r="O134" i="2"/>
  <c r="O132" i="2"/>
  <c r="O130" i="2"/>
  <c r="O129" i="2"/>
  <c r="O125" i="2"/>
  <c r="O124" i="2"/>
  <c r="O123" i="2"/>
  <c r="O122" i="2"/>
  <c r="O121" i="2"/>
  <c r="O120" i="2"/>
  <c r="O119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4" i="2"/>
  <c r="O92" i="2"/>
  <c r="O90" i="2"/>
  <c r="O88" i="2"/>
  <c r="O87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2" i="2"/>
  <c r="O50" i="2"/>
  <c r="O48" i="2"/>
  <c r="O46" i="2"/>
  <c r="O45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0" i="2"/>
  <c r="O8" i="2"/>
  <c r="O6" i="2"/>
  <c r="O4" i="2"/>
  <c r="O3" i="2"/>
  <c r="N1385" i="2"/>
  <c r="N1384" i="2"/>
  <c r="N1383" i="2"/>
  <c r="N1382" i="2"/>
  <c r="N1381" i="2"/>
  <c r="N1380" i="2"/>
  <c r="N1379" i="2"/>
  <c r="N1378" i="2"/>
  <c r="N1377" i="2"/>
  <c r="N1376" i="2"/>
  <c r="N1375" i="2"/>
  <c r="N1374" i="2"/>
  <c r="N1373" i="2"/>
  <c r="N1372" i="2"/>
  <c r="N1371" i="2"/>
  <c r="N1370" i="2"/>
  <c r="N1369" i="2"/>
  <c r="N1368" i="2"/>
  <c r="N1367" i="2"/>
  <c r="N1366" i="2"/>
  <c r="N1365" i="2"/>
  <c r="N1364" i="2"/>
  <c r="N1363" i="2"/>
  <c r="N1362" i="2"/>
  <c r="N1361" i="2"/>
  <c r="N1360" i="2"/>
  <c r="N1359" i="2"/>
  <c r="N1358" i="2"/>
  <c r="N1357" i="2"/>
  <c r="N1356" i="2"/>
  <c r="N1354" i="2"/>
  <c r="N1352" i="2"/>
  <c r="N1350" i="2"/>
  <c r="N1348" i="2"/>
  <c r="N1347" i="2"/>
  <c r="N1343" i="2"/>
  <c r="N1342" i="2"/>
  <c r="N1341" i="2"/>
  <c r="N1340" i="2"/>
  <c r="N1339" i="2"/>
  <c r="N1338" i="2"/>
  <c r="N1337" i="2"/>
  <c r="N1336" i="2"/>
  <c r="N1335" i="2"/>
  <c r="N1334" i="2"/>
  <c r="N1333" i="2"/>
  <c r="N1332" i="2"/>
  <c r="N1331" i="2"/>
  <c r="N1330" i="2"/>
  <c r="N1329" i="2"/>
  <c r="N1328" i="2"/>
  <c r="N1327" i="2"/>
  <c r="N1326" i="2"/>
  <c r="N1325" i="2"/>
  <c r="N1324" i="2"/>
  <c r="N1323" i="2"/>
  <c r="N1322" i="2"/>
  <c r="N1321" i="2"/>
  <c r="N1320" i="2"/>
  <c r="N1319" i="2"/>
  <c r="N1318" i="2"/>
  <c r="N1317" i="2"/>
  <c r="N1316" i="2"/>
  <c r="N1315" i="2"/>
  <c r="N1314" i="2"/>
  <c r="N1312" i="2"/>
  <c r="N1310" i="2"/>
  <c r="N1308" i="2"/>
  <c r="N1306" i="2"/>
  <c r="N1305" i="2"/>
  <c r="N1301" i="2"/>
  <c r="N1300" i="2"/>
  <c r="N1299" i="2"/>
  <c r="N1298" i="2"/>
  <c r="N1297" i="2"/>
  <c r="N1296" i="2"/>
  <c r="N1295" i="2"/>
  <c r="N1294" i="2"/>
  <c r="N1293" i="2"/>
  <c r="N1292" i="2"/>
  <c r="N1291" i="2"/>
  <c r="N1290" i="2"/>
  <c r="N1289" i="2"/>
  <c r="N1288" i="2"/>
  <c r="N1287" i="2"/>
  <c r="N1286" i="2"/>
  <c r="N1285" i="2"/>
  <c r="N1284" i="2"/>
  <c r="N1283" i="2"/>
  <c r="N1282" i="2"/>
  <c r="N1281" i="2"/>
  <c r="N1280" i="2"/>
  <c r="N1279" i="2"/>
  <c r="N1278" i="2"/>
  <c r="N1277" i="2"/>
  <c r="N1276" i="2"/>
  <c r="N1275" i="2"/>
  <c r="N1274" i="2"/>
  <c r="N1273" i="2"/>
  <c r="N1272" i="2"/>
  <c r="N1270" i="2"/>
  <c r="N1268" i="2"/>
  <c r="N1266" i="2"/>
  <c r="N1264" i="2"/>
  <c r="N1263" i="2"/>
  <c r="N1259" i="2"/>
  <c r="N1258" i="2"/>
  <c r="N1257" i="2"/>
  <c r="N1256" i="2"/>
  <c r="N1255" i="2"/>
  <c r="N1254" i="2"/>
  <c r="N1253" i="2"/>
  <c r="N1252" i="2"/>
  <c r="N1251" i="2"/>
  <c r="N1250" i="2"/>
  <c r="N1249" i="2"/>
  <c r="N1248" i="2"/>
  <c r="N1247" i="2"/>
  <c r="N1246" i="2"/>
  <c r="N1245" i="2"/>
  <c r="N1244" i="2"/>
  <c r="N1243" i="2"/>
  <c r="N1242" i="2"/>
  <c r="N1241" i="2"/>
  <c r="N1240" i="2"/>
  <c r="N1239" i="2"/>
  <c r="N1238" i="2"/>
  <c r="N1237" i="2"/>
  <c r="N1236" i="2"/>
  <c r="N1235" i="2"/>
  <c r="N1234" i="2"/>
  <c r="N1233" i="2"/>
  <c r="N1232" i="2"/>
  <c r="N1231" i="2"/>
  <c r="N1230" i="2"/>
  <c r="N1228" i="2"/>
  <c r="N1226" i="2"/>
  <c r="N1224" i="2"/>
  <c r="N1222" i="2"/>
  <c r="N1221" i="2"/>
  <c r="N1217" i="2"/>
  <c r="N1216" i="2"/>
  <c r="N1215" i="2"/>
  <c r="N1214" i="2"/>
  <c r="N1213" i="2"/>
  <c r="N1212" i="2"/>
  <c r="N1211" i="2"/>
  <c r="N1210" i="2"/>
  <c r="N1209" i="2"/>
  <c r="N1208" i="2"/>
  <c r="N1207" i="2"/>
  <c r="N1206" i="2"/>
  <c r="N1205" i="2"/>
  <c r="N1204" i="2"/>
  <c r="N1203" i="2"/>
  <c r="N1202" i="2"/>
  <c r="N1201" i="2"/>
  <c r="N1200" i="2"/>
  <c r="N1199" i="2"/>
  <c r="N1198" i="2"/>
  <c r="N1197" i="2"/>
  <c r="N1196" i="2"/>
  <c r="N1195" i="2"/>
  <c r="N1194" i="2"/>
  <c r="N1193" i="2"/>
  <c r="N1192" i="2"/>
  <c r="N1191" i="2"/>
  <c r="N1190" i="2"/>
  <c r="N1189" i="2"/>
  <c r="N1188" i="2"/>
  <c r="N1186" i="2"/>
  <c r="N1184" i="2"/>
  <c r="N1182" i="2"/>
  <c r="N1180" i="2"/>
  <c r="N1179" i="2"/>
  <c r="N1175" i="2"/>
  <c r="N1174" i="2"/>
  <c r="N1173" i="2"/>
  <c r="N1172" i="2"/>
  <c r="N1171" i="2"/>
  <c r="N1170" i="2"/>
  <c r="N1169" i="2"/>
  <c r="N1168" i="2"/>
  <c r="N1167" i="2"/>
  <c r="N1166" i="2"/>
  <c r="N1165" i="2"/>
  <c r="N1164" i="2"/>
  <c r="N1163" i="2"/>
  <c r="N1162" i="2"/>
  <c r="N1161" i="2"/>
  <c r="N1160" i="2"/>
  <c r="N1159" i="2"/>
  <c r="N1158" i="2"/>
  <c r="N1157" i="2"/>
  <c r="N1156" i="2"/>
  <c r="N1155" i="2"/>
  <c r="N1154" i="2"/>
  <c r="N1153" i="2"/>
  <c r="N1152" i="2"/>
  <c r="N1151" i="2"/>
  <c r="N1150" i="2"/>
  <c r="N1149" i="2"/>
  <c r="N1148" i="2"/>
  <c r="N1147" i="2"/>
  <c r="N1146" i="2"/>
  <c r="N1144" i="2"/>
  <c r="N1142" i="2"/>
  <c r="N1140" i="2"/>
  <c r="N1138" i="2"/>
  <c r="N1137" i="2"/>
  <c r="N1133" i="2"/>
  <c r="N1132" i="2"/>
  <c r="N1131" i="2"/>
  <c r="N1130" i="2"/>
  <c r="N1129" i="2"/>
  <c r="N1128" i="2"/>
  <c r="N1127" i="2"/>
  <c r="N1126" i="2"/>
  <c r="N1125" i="2"/>
  <c r="N1124" i="2"/>
  <c r="N1123" i="2"/>
  <c r="N1122" i="2"/>
  <c r="N1121" i="2"/>
  <c r="N1120" i="2"/>
  <c r="N1119" i="2"/>
  <c r="N1118" i="2"/>
  <c r="N1117" i="2"/>
  <c r="N1116" i="2"/>
  <c r="N1115" i="2"/>
  <c r="N1114" i="2"/>
  <c r="N1113" i="2"/>
  <c r="N1112" i="2"/>
  <c r="N1111" i="2"/>
  <c r="N1110" i="2"/>
  <c r="N1109" i="2"/>
  <c r="N1108" i="2"/>
  <c r="N1107" i="2"/>
  <c r="N1106" i="2"/>
  <c r="N1105" i="2"/>
  <c r="N1104" i="2"/>
  <c r="N1102" i="2"/>
  <c r="N1100" i="2"/>
  <c r="N1098" i="2"/>
  <c r="N1096" i="2"/>
  <c r="N1095" i="2"/>
  <c r="N1091" i="2"/>
  <c r="N1090" i="2"/>
  <c r="N1089" i="2"/>
  <c r="N1088" i="2"/>
  <c r="N1087" i="2"/>
  <c r="N1086" i="2"/>
  <c r="N1085" i="2"/>
  <c r="N1084" i="2"/>
  <c r="N1083" i="2"/>
  <c r="N1082" i="2"/>
  <c r="N1081" i="2"/>
  <c r="N1080" i="2"/>
  <c r="N1079" i="2"/>
  <c r="N1078" i="2"/>
  <c r="N1077" i="2"/>
  <c r="N1076" i="2"/>
  <c r="N1075" i="2"/>
  <c r="N1074" i="2"/>
  <c r="N1073" i="2"/>
  <c r="N1072" i="2"/>
  <c r="N1071" i="2"/>
  <c r="N1070" i="2"/>
  <c r="N1069" i="2"/>
  <c r="N1068" i="2"/>
  <c r="N1067" i="2"/>
  <c r="N1066" i="2"/>
  <c r="N1065" i="2"/>
  <c r="N1064" i="2"/>
  <c r="N1063" i="2"/>
  <c r="N1062" i="2"/>
  <c r="N1060" i="2"/>
  <c r="N1058" i="2"/>
  <c r="N1056" i="2"/>
  <c r="N1054" i="2"/>
  <c r="N1053" i="2"/>
  <c r="N1049" i="2"/>
  <c r="N1048" i="2"/>
  <c r="N1047" i="2"/>
  <c r="N1046" i="2"/>
  <c r="N1045" i="2"/>
  <c r="N1044" i="2"/>
  <c r="N1043" i="2"/>
  <c r="N1042" i="2"/>
  <c r="N1041" i="2"/>
  <c r="N1040" i="2"/>
  <c r="N1039" i="2"/>
  <c r="N1038" i="2"/>
  <c r="N1037" i="2"/>
  <c r="N1036" i="2"/>
  <c r="N1035" i="2"/>
  <c r="N1034" i="2"/>
  <c r="N1033" i="2"/>
  <c r="N1032" i="2"/>
  <c r="N1031" i="2"/>
  <c r="N1030" i="2"/>
  <c r="N1029" i="2"/>
  <c r="N1028" i="2"/>
  <c r="N1027" i="2"/>
  <c r="N1026" i="2"/>
  <c r="N1025" i="2"/>
  <c r="N1024" i="2"/>
  <c r="N1023" i="2"/>
  <c r="N1022" i="2"/>
  <c r="N1021" i="2"/>
  <c r="N1020" i="2"/>
  <c r="N1018" i="2"/>
  <c r="N1016" i="2"/>
  <c r="N1014" i="2"/>
  <c r="N1012" i="2"/>
  <c r="N1011" i="2"/>
  <c r="N1007" i="2"/>
  <c r="N1006" i="2"/>
  <c r="N1005" i="2"/>
  <c r="N1004" i="2"/>
  <c r="N1003" i="2"/>
  <c r="N1002" i="2"/>
  <c r="N1001" i="2"/>
  <c r="N1000" i="2"/>
  <c r="N999" i="2"/>
  <c r="N998" i="2"/>
  <c r="N997" i="2"/>
  <c r="N996" i="2"/>
  <c r="N995" i="2"/>
  <c r="N994" i="2"/>
  <c r="N993" i="2"/>
  <c r="N992" i="2"/>
  <c r="N991" i="2"/>
  <c r="N990" i="2"/>
  <c r="N989" i="2"/>
  <c r="N988" i="2"/>
  <c r="N987" i="2"/>
  <c r="N986" i="2"/>
  <c r="N985" i="2"/>
  <c r="N984" i="2"/>
  <c r="N983" i="2"/>
  <c r="N982" i="2"/>
  <c r="N981" i="2"/>
  <c r="N980" i="2"/>
  <c r="N979" i="2"/>
  <c r="N978" i="2"/>
  <c r="N976" i="2"/>
  <c r="N974" i="2"/>
  <c r="N972" i="2"/>
  <c r="N970" i="2"/>
  <c r="N969" i="2"/>
  <c r="N965" i="2"/>
  <c r="N964" i="2"/>
  <c r="N963" i="2"/>
  <c r="N962" i="2"/>
  <c r="N961" i="2"/>
  <c r="N960" i="2"/>
  <c r="N959" i="2"/>
  <c r="N958" i="2"/>
  <c r="N957" i="2"/>
  <c r="N956" i="2"/>
  <c r="N955" i="2"/>
  <c r="N954" i="2"/>
  <c r="N953" i="2"/>
  <c r="N952" i="2"/>
  <c r="N951" i="2"/>
  <c r="N950" i="2"/>
  <c r="N949" i="2"/>
  <c r="N948" i="2"/>
  <c r="N947" i="2"/>
  <c r="N946" i="2"/>
  <c r="N945" i="2"/>
  <c r="N944" i="2"/>
  <c r="N943" i="2"/>
  <c r="N942" i="2"/>
  <c r="N941" i="2"/>
  <c r="N940" i="2"/>
  <c r="N939" i="2"/>
  <c r="N938" i="2"/>
  <c r="N937" i="2"/>
  <c r="N936" i="2"/>
  <c r="N934" i="2"/>
  <c r="N932" i="2"/>
  <c r="N930" i="2"/>
  <c r="N928" i="2"/>
  <c r="N927" i="2"/>
  <c r="N923" i="2"/>
  <c r="N922" i="2"/>
  <c r="N921" i="2"/>
  <c r="N920" i="2"/>
  <c r="N919" i="2"/>
  <c r="N918" i="2"/>
  <c r="N917" i="2"/>
  <c r="N916" i="2"/>
  <c r="N915" i="2"/>
  <c r="N914" i="2"/>
  <c r="N913" i="2"/>
  <c r="N912" i="2"/>
  <c r="N911" i="2"/>
  <c r="N910" i="2"/>
  <c r="N909" i="2"/>
  <c r="N908" i="2"/>
  <c r="N907" i="2"/>
  <c r="N906" i="2"/>
  <c r="N905" i="2"/>
  <c r="N904" i="2"/>
  <c r="N903" i="2"/>
  <c r="N902" i="2"/>
  <c r="N901" i="2"/>
  <c r="N900" i="2"/>
  <c r="N899" i="2"/>
  <c r="N898" i="2"/>
  <c r="N897" i="2"/>
  <c r="N896" i="2"/>
  <c r="N895" i="2"/>
  <c r="N894" i="2"/>
  <c r="N892" i="2"/>
  <c r="N890" i="2"/>
  <c r="N888" i="2"/>
  <c r="N886" i="2"/>
  <c r="N885" i="2"/>
  <c r="N881" i="2"/>
  <c r="N880" i="2"/>
  <c r="N879" i="2"/>
  <c r="N878" i="2"/>
  <c r="N877" i="2"/>
  <c r="N876" i="2"/>
  <c r="N875" i="2"/>
  <c r="N874" i="2"/>
  <c r="N873" i="2"/>
  <c r="N872" i="2"/>
  <c r="N871" i="2"/>
  <c r="N870" i="2"/>
  <c r="N869" i="2"/>
  <c r="N868" i="2"/>
  <c r="N867" i="2"/>
  <c r="N866" i="2"/>
  <c r="N865" i="2"/>
  <c r="N864" i="2"/>
  <c r="N863" i="2"/>
  <c r="N862" i="2"/>
  <c r="N861" i="2"/>
  <c r="N860" i="2"/>
  <c r="N859" i="2"/>
  <c r="N858" i="2"/>
  <c r="N857" i="2"/>
  <c r="N856" i="2"/>
  <c r="N855" i="2"/>
  <c r="N854" i="2"/>
  <c r="N853" i="2"/>
  <c r="N852" i="2"/>
  <c r="N850" i="2"/>
  <c r="N848" i="2"/>
  <c r="N846" i="2"/>
  <c r="N844" i="2"/>
  <c r="N843" i="2"/>
  <c r="N839" i="2"/>
  <c r="N838" i="2"/>
  <c r="N837" i="2"/>
  <c r="N836" i="2"/>
  <c r="N835" i="2"/>
  <c r="N834" i="2"/>
  <c r="N833" i="2"/>
  <c r="N832" i="2"/>
  <c r="N831" i="2"/>
  <c r="N830" i="2"/>
  <c r="N829" i="2"/>
  <c r="N828" i="2"/>
  <c r="N827" i="2"/>
  <c r="N826" i="2"/>
  <c r="N825" i="2"/>
  <c r="N824" i="2"/>
  <c r="N823" i="2"/>
  <c r="N822" i="2"/>
  <c r="N821" i="2"/>
  <c r="N820" i="2"/>
  <c r="N819" i="2"/>
  <c r="N818" i="2"/>
  <c r="N817" i="2"/>
  <c r="N816" i="2"/>
  <c r="N815" i="2"/>
  <c r="N814" i="2"/>
  <c r="N813" i="2"/>
  <c r="N812" i="2"/>
  <c r="N811" i="2"/>
  <c r="N810" i="2"/>
  <c r="N808" i="2"/>
  <c r="N806" i="2"/>
  <c r="N804" i="2"/>
  <c r="N802" i="2"/>
  <c r="N801" i="2"/>
  <c r="N797" i="2"/>
  <c r="N796" i="2"/>
  <c r="N795" i="2"/>
  <c r="N794" i="2"/>
  <c r="N793" i="2"/>
  <c r="N792" i="2"/>
  <c r="N791" i="2"/>
  <c r="N790" i="2"/>
  <c r="N789" i="2"/>
  <c r="N788" i="2"/>
  <c r="N787" i="2"/>
  <c r="N786" i="2"/>
  <c r="N785" i="2"/>
  <c r="N784" i="2"/>
  <c r="N783" i="2"/>
  <c r="N782" i="2"/>
  <c r="N781" i="2"/>
  <c r="N780" i="2"/>
  <c r="N779" i="2"/>
  <c r="N778" i="2"/>
  <c r="N777" i="2"/>
  <c r="N776" i="2"/>
  <c r="N775" i="2"/>
  <c r="N774" i="2"/>
  <c r="N773" i="2"/>
  <c r="N772" i="2"/>
  <c r="N771" i="2"/>
  <c r="N770" i="2"/>
  <c r="N769" i="2"/>
  <c r="N768" i="2"/>
  <c r="N766" i="2"/>
  <c r="N764" i="2"/>
  <c r="N762" i="2"/>
  <c r="N760" i="2"/>
  <c r="N759" i="2"/>
  <c r="N755" i="2"/>
  <c r="N754" i="2"/>
  <c r="N753" i="2"/>
  <c r="N752" i="2"/>
  <c r="N751" i="2"/>
  <c r="N750" i="2"/>
  <c r="N749" i="2"/>
  <c r="N748" i="2"/>
  <c r="N747" i="2"/>
  <c r="N746" i="2"/>
  <c r="N745" i="2"/>
  <c r="N744" i="2"/>
  <c r="N743" i="2"/>
  <c r="N742" i="2"/>
  <c r="N741" i="2"/>
  <c r="N740" i="2"/>
  <c r="N739" i="2"/>
  <c r="N738" i="2"/>
  <c r="N737" i="2"/>
  <c r="N736" i="2"/>
  <c r="N735" i="2"/>
  <c r="N734" i="2"/>
  <c r="N733" i="2"/>
  <c r="N732" i="2"/>
  <c r="N731" i="2"/>
  <c r="N730" i="2"/>
  <c r="N729" i="2"/>
  <c r="N728" i="2"/>
  <c r="N727" i="2"/>
  <c r="N726" i="2"/>
  <c r="N724" i="2"/>
  <c r="N722" i="2"/>
  <c r="N720" i="2"/>
  <c r="N718" i="2"/>
  <c r="N717" i="2"/>
  <c r="N713" i="2"/>
  <c r="N712" i="2"/>
  <c r="N711" i="2"/>
  <c r="N710" i="2"/>
  <c r="N709" i="2"/>
  <c r="N708" i="2"/>
  <c r="N707" i="2"/>
  <c r="N706" i="2"/>
  <c r="N705" i="2"/>
  <c r="N704" i="2"/>
  <c r="N703" i="2"/>
  <c r="N702" i="2"/>
  <c r="N701" i="2"/>
  <c r="N700" i="2"/>
  <c r="N699" i="2"/>
  <c r="N698" i="2"/>
  <c r="N697" i="2"/>
  <c r="N696" i="2"/>
  <c r="N695" i="2"/>
  <c r="N694" i="2"/>
  <c r="N693" i="2"/>
  <c r="N692" i="2"/>
  <c r="N691" i="2"/>
  <c r="N690" i="2"/>
  <c r="N689" i="2"/>
  <c r="N688" i="2"/>
  <c r="N687" i="2"/>
  <c r="N686" i="2"/>
  <c r="N685" i="2"/>
  <c r="N684" i="2"/>
  <c r="N682" i="2"/>
  <c r="N680" i="2"/>
  <c r="N678" i="2"/>
  <c r="N676" i="2"/>
  <c r="N675" i="2"/>
  <c r="N671" i="2"/>
  <c r="N670" i="2"/>
  <c r="N669" i="2"/>
  <c r="N668" i="2"/>
  <c r="N667" i="2"/>
  <c r="N666" i="2"/>
  <c r="N665" i="2"/>
  <c r="N664" i="2"/>
  <c r="N663" i="2"/>
  <c r="N662" i="2"/>
  <c r="N661" i="2"/>
  <c r="N660" i="2"/>
  <c r="N659" i="2"/>
  <c r="N658" i="2"/>
  <c r="N657" i="2"/>
  <c r="N656" i="2"/>
  <c r="N655" i="2"/>
  <c r="N654" i="2"/>
  <c r="N653" i="2"/>
  <c r="N652" i="2"/>
  <c r="N651" i="2"/>
  <c r="N650" i="2"/>
  <c r="N649" i="2"/>
  <c r="N648" i="2"/>
  <c r="N647" i="2"/>
  <c r="N646" i="2"/>
  <c r="N645" i="2"/>
  <c r="N644" i="2"/>
  <c r="N643" i="2"/>
  <c r="N642" i="2"/>
  <c r="N640" i="2"/>
  <c r="N638" i="2"/>
  <c r="N636" i="2"/>
  <c r="N634" i="2"/>
  <c r="N633" i="2"/>
  <c r="N629" i="2"/>
  <c r="N628" i="2"/>
  <c r="N627" i="2"/>
  <c r="N626" i="2"/>
  <c r="N625" i="2"/>
  <c r="N624" i="2"/>
  <c r="N623" i="2"/>
  <c r="N622" i="2"/>
  <c r="N621" i="2"/>
  <c r="N620" i="2"/>
  <c r="N619" i="2"/>
  <c r="N618" i="2"/>
  <c r="N617" i="2"/>
  <c r="N616" i="2"/>
  <c r="N615" i="2"/>
  <c r="N614" i="2"/>
  <c r="N613" i="2"/>
  <c r="N612" i="2"/>
  <c r="N611" i="2"/>
  <c r="N610" i="2"/>
  <c r="N609" i="2"/>
  <c r="N608" i="2"/>
  <c r="N607" i="2"/>
  <c r="N606" i="2"/>
  <c r="N605" i="2"/>
  <c r="N604" i="2"/>
  <c r="N603" i="2"/>
  <c r="N602" i="2"/>
  <c r="N601" i="2"/>
  <c r="N600" i="2"/>
  <c r="N598" i="2"/>
  <c r="N596" i="2"/>
  <c r="N594" i="2"/>
  <c r="N592" i="2"/>
  <c r="N591" i="2"/>
  <c r="N545" i="2"/>
  <c r="N544" i="2"/>
  <c r="N543" i="2"/>
  <c r="N542" i="2"/>
  <c r="N541" i="2"/>
  <c r="N540" i="2"/>
  <c r="N539" i="2"/>
  <c r="N538" i="2"/>
  <c r="N537" i="2"/>
  <c r="N536" i="2"/>
  <c r="N535" i="2"/>
  <c r="N534" i="2"/>
  <c r="N533" i="2"/>
  <c r="N532" i="2"/>
  <c r="N531" i="2"/>
  <c r="N530" i="2"/>
  <c r="N529" i="2"/>
  <c r="N528" i="2"/>
  <c r="N527" i="2"/>
  <c r="N526" i="2"/>
  <c r="N525" i="2"/>
  <c r="N524" i="2"/>
  <c r="N523" i="2"/>
  <c r="N522" i="2"/>
  <c r="N521" i="2"/>
  <c r="N520" i="2"/>
  <c r="N519" i="2"/>
  <c r="N518" i="2"/>
  <c r="N517" i="2"/>
  <c r="N516" i="2"/>
  <c r="N514" i="2"/>
  <c r="N512" i="2"/>
  <c r="N510" i="2"/>
  <c r="N508" i="2"/>
  <c r="N507" i="2"/>
  <c r="N503" i="2"/>
  <c r="N502" i="2"/>
  <c r="N501" i="2"/>
  <c r="N500" i="2"/>
  <c r="N499" i="2"/>
  <c r="N498" i="2"/>
  <c r="N497" i="2"/>
  <c r="N496" i="2"/>
  <c r="N495" i="2"/>
  <c r="N494" i="2"/>
  <c r="N493" i="2"/>
  <c r="N492" i="2"/>
  <c r="N491" i="2"/>
  <c r="N490" i="2"/>
  <c r="N489" i="2"/>
  <c r="N488" i="2"/>
  <c r="N487" i="2"/>
  <c r="N486" i="2"/>
  <c r="N485" i="2"/>
  <c r="N484" i="2"/>
  <c r="N483" i="2"/>
  <c r="N482" i="2"/>
  <c r="N481" i="2"/>
  <c r="N480" i="2"/>
  <c r="N479" i="2"/>
  <c r="N478" i="2"/>
  <c r="N477" i="2"/>
  <c r="N476" i="2"/>
  <c r="N475" i="2"/>
  <c r="N474" i="2"/>
  <c r="N472" i="2"/>
  <c r="N470" i="2"/>
  <c r="N468" i="2"/>
  <c r="N466" i="2"/>
  <c r="N465" i="2"/>
  <c r="N461" i="2"/>
  <c r="N460" i="2"/>
  <c r="N459" i="2"/>
  <c r="N458" i="2"/>
  <c r="N457" i="2"/>
  <c r="N456" i="2"/>
  <c r="N455" i="2"/>
  <c r="N454" i="2"/>
  <c r="N453" i="2"/>
  <c r="N452" i="2"/>
  <c r="N451" i="2"/>
  <c r="N450" i="2"/>
  <c r="N449" i="2"/>
  <c r="N448" i="2"/>
  <c r="N447" i="2"/>
  <c r="N446" i="2"/>
  <c r="N445" i="2"/>
  <c r="N444" i="2"/>
  <c r="N443" i="2"/>
  <c r="N442" i="2"/>
  <c r="N441" i="2"/>
  <c r="N440" i="2"/>
  <c r="N439" i="2"/>
  <c r="N438" i="2"/>
  <c r="N437" i="2"/>
  <c r="N436" i="2"/>
  <c r="N435" i="2"/>
  <c r="N434" i="2"/>
  <c r="N433" i="2"/>
  <c r="N432" i="2"/>
  <c r="N430" i="2"/>
  <c r="N428" i="2"/>
  <c r="N426" i="2"/>
  <c r="N424" i="2"/>
  <c r="N423" i="2"/>
  <c r="N419" i="2"/>
  <c r="N418" i="2"/>
  <c r="N417" i="2"/>
  <c r="N416" i="2"/>
  <c r="N415" i="2"/>
  <c r="N414" i="2"/>
  <c r="N413" i="2"/>
  <c r="N412" i="2"/>
  <c r="N411" i="2"/>
  <c r="N410" i="2"/>
  <c r="N409" i="2"/>
  <c r="N408" i="2"/>
  <c r="N407" i="2"/>
  <c r="N406" i="2"/>
  <c r="N405" i="2"/>
  <c r="N404" i="2"/>
  <c r="N403" i="2"/>
  <c r="N402" i="2"/>
  <c r="N401" i="2"/>
  <c r="N400" i="2"/>
  <c r="N399" i="2"/>
  <c r="N398" i="2"/>
  <c r="N397" i="2"/>
  <c r="N396" i="2"/>
  <c r="N395" i="2"/>
  <c r="N394" i="2"/>
  <c r="N393" i="2"/>
  <c r="N392" i="2"/>
  <c r="N391" i="2"/>
  <c r="N390" i="2"/>
  <c r="N388" i="2"/>
  <c r="N386" i="2"/>
  <c r="N384" i="2"/>
  <c r="N382" i="2"/>
  <c r="N381" i="2"/>
  <c r="N377" i="2"/>
  <c r="N376" i="2"/>
  <c r="N375" i="2"/>
  <c r="N374" i="2"/>
  <c r="N373" i="2"/>
  <c r="N372" i="2"/>
  <c r="N371" i="2"/>
  <c r="N370" i="2"/>
  <c r="N369" i="2"/>
  <c r="N368" i="2"/>
  <c r="N367" i="2"/>
  <c r="N366" i="2"/>
  <c r="N365" i="2"/>
  <c r="N364" i="2"/>
  <c r="N363" i="2"/>
  <c r="N362" i="2"/>
  <c r="N361" i="2"/>
  <c r="N360" i="2"/>
  <c r="N359" i="2"/>
  <c r="N358" i="2"/>
  <c r="N357" i="2"/>
  <c r="N356" i="2"/>
  <c r="N355" i="2"/>
  <c r="N354" i="2"/>
  <c r="N353" i="2"/>
  <c r="N352" i="2"/>
  <c r="N351" i="2"/>
  <c r="N350" i="2"/>
  <c r="N349" i="2"/>
  <c r="N348" i="2"/>
  <c r="N346" i="2"/>
  <c r="N344" i="2"/>
  <c r="N342" i="2"/>
  <c r="N340" i="2"/>
  <c r="N339" i="2"/>
  <c r="N335" i="2"/>
  <c r="N334" i="2"/>
  <c r="N333" i="2"/>
  <c r="N332" i="2"/>
  <c r="N331" i="2"/>
  <c r="N330" i="2"/>
  <c r="N329" i="2"/>
  <c r="N328" i="2"/>
  <c r="N327" i="2"/>
  <c r="N326" i="2"/>
  <c r="N325" i="2"/>
  <c r="N324" i="2"/>
  <c r="N323" i="2"/>
  <c r="N322" i="2"/>
  <c r="N321" i="2"/>
  <c r="N320" i="2"/>
  <c r="N319" i="2"/>
  <c r="N318" i="2"/>
  <c r="N317" i="2"/>
  <c r="N316" i="2"/>
  <c r="N315" i="2"/>
  <c r="N314" i="2"/>
  <c r="N313" i="2"/>
  <c r="N312" i="2"/>
  <c r="N311" i="2"/>
  <c r="N310" i="2"/>
  <c r="N309" i="2"/>
  <c r="N308" i="2"/>
  <c r="N307" i="2"/>
  <c r="N306" i="2"/>
  <c r="N304" i="2"/>
  <c r="N302" i="2"/>
  <c r="N300" i="2"/>
  <c r="N298" i="2"/>
  <c r="N297" i="2"/>
  <c r="N293" i="2"/>
  <c r="N292" i="2"/>
  <c r="N291" i="2"/>
  <c r="N290" i="2"/>
  <c r="N289" i="2"/>
  <c r="N288" i="2"/>
  <c r="N287" i="2"/>
  <c r="N286" i="2"/>
  <c r="N285" i="2"/>
  <c r="N284" i="2"/>
  <c r="N283" i="2"/>
  <c r="N282" i="2"/>
  <c r="N281" i="2"/>
  <c r="N280" i="2"/>
  <c r="N279" i="2"/>
  <c r="N278" i="2"/>
  <c r="N277" i="2"/>
  <c r="N276" i="2"/>
  <c r="N275" i="2"/>
  <c r="N274" i="2"/>
  <c r="N273" i="2"/>
  <c r="N272" i="2"/>
  <c r="N271" i="2"/>
  <c r="N270" i="2"/>
  <c r="N269" i="2"/>
  <c r="N268" i="2"/>
  <c r="N267" i="2"/>
  <c r="N266" i="2"/>
  <c r="N265" i="2"/>
  <c r="N264" i="2"/>
  <c r="N262" i="2"/>
  <c r="N260" i="2"/>
  <c r="N258" i="2"/>
  <c r="N256" i="2"/>
  <c r="N255" i="2"/>
  <c r="N251" i="2"/>
  <c r="N250" i="2"/>
  <c r="N249" i="2"/>
  <c r="N248" i="2"/>
  <c r="N247" i="2"/>
  <c r="N246" i="2"/>
  <c r="N245" i="2"/>
  <c r="N244" i="2"/>
  <c r="N243" i="2"/>
  <c r="N242" i="2"/>
  <c r="N241" i="2"/>
  <c r="N240" i="2"/>
  <c r="N239" i="2"/>
  <c r="N238" i="2"/>
  <c r="N237" i="2"/>
  <c r="N236" i="2"/>
  <c r="N235" i="2"/>
  <c r="N234" i="2"/>
  <c r="N233" i="2"/>
  <c r="N232" i="2"/>
  <c r="N231" i="2"/>
  <c r="N230" i="2"/>
  <c r="N229" i="2"/>
  <c r="N228" i="2"/>
  <c r="N227" i="2"/>
  <c r="N226" i="2"/>
  <c r="N225" i="2"/>
  <c r="N224" i="2"/>
  <c r="N223" i="2"/>
  <c r="N222" i="2"/>
  <c r="N220" i="2"/>
  <c r="N218" i="2"/>
  <c r="N216" i="2"/>
  <c r="N214" i="2"/>
  <c r="N213" i="2"/>
  <c r="N209" i="2"/>
  <c r="N208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8" i="2"/>
  <c r="N176" i="2"/>
  <c r="N174" i="2"/>
  <c r="N172" i="2"/>
  <c r="N171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6" i="2"/>
  <c r="N134" i="2"/>
  <c r="N132" i="2"/>
  <c r="N130" i="2"/>
  <c r="N129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4" i="2"/>
  <c r="N92" i="2"/>
  <c r="N90" i="2"/>
  <c r="N88" i="2"/>
  <c r="N87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2" i="2"/>
  <c r="N50" i="2"/>
  <c r="N48" i="2"/>
  <c r="N46" i="2"/>
  <c r="N45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0" i="2"/>
  <c r="N8" i="2"/>
  <c r="N6" i="2"/>
  <c r="N4" i="2"/>
  <c r="N3" i="2"/>
  <c r="M1385" i="2"/>
  <c r="M1384" i="2"/>
  <c r="M1383" i="2"/>
  <c r="M1382" i="2"/>
  <c r="M1381" i="2"/>
  <c r="M1380" i="2"/>
  <c r="M1379" i="2"/>
  <c r="M1378" i="2"/>
  <c r="M1377" i="2"/>
  <c r="M1376" i="2"/>
  <c r="M1375" i="2"/>
  <c r="M1374" i="2"/>
  <c r="M1373" i="2"/>
  <c r="M1372" i="2"/>
  <c r="M1371" i="2"/>
  <c r="M1370" i="2"/>
  <c r="M1369" i="2"/>
  <c r="M1368" i="2"/>
  <c r="M1367" i="2"/>
  <c r="M1366" i="2"/>
  <c r="M1365" i="2"/>
  <c r="M1364" i="2"/>
  <c r="M1363" i="2"/>
  <c r="M1362" i="2"/>
  <c r="M1361" i="2"/>
  <c r="M1360" i="2"/>
  <c r="M1359" i="2"/>
  <c r="M1358" i="2"/>
  <c r="M1357" i="2"/>
  <c r="M1356" i="2"/>
  <c r="M1354" i="2"/>
  <c r="M1352" i="2"/>
  <c r="M1350" i="2"/>
  <c r="M1348" i="2"/>
  <c r="M1347" i="2"/>
  <c r="M1343" i="2"/>
  <c r="M1342" i="2"/>
  <c r="M1341" i="2"/>
  <c r="M1340" i="2"/>
  <c r="M1339" i="2"/>
  <c r="M1338" i="2"/>
  <c r="M1337" i="2"/>
  <c r="M1336" i="2"/>
  <c r="M1335" i="2"/>
  <c r="M1334" i="2"/>
  <c r="M1333" i="2"/>
  <c r="M1332" i="2"/>
  <c r="M1331" i="2"/>
  <c r="M1330" i="2"/>
  <c r="M1329" i="2"/>
  <c r="M1328" i="2"/>
  <c r="M1327" i="2"/>
  <c r="M1326" i="2"/>
  <c r="M1325" i="2"/>
  <c r="M1324" i="2"/>
  <c r="M1323" i="2"/>
  <c r="M1322" i="2"/>
  <c r="M1321" i="2"/>
  <c r="M1320" i="2"/>
  <c r="M1319" i="2"/>
  <c r="M1318" i="2"/>
  <c r="M1317" i="2"/>
  <c r="M1316" i="2"/>
  <c r="M1315" i="2"/>
  <c r="M1314" i="2"/>
  <c r="M1312" i="2"/>
  <c r="M1310" i="2"/>
  <c r="M1308" i="2"/>
  <c r="M1306" i="2"/>
  <c r="M1305" i="2"/>
  <c r="M1301" i="2"/>
  <c r="M1300" i="2"/>
  <c r="M1299" i="2"/>
  <c r="M1298" i="2"/>
  <c r="M1297" i="2"/>
  <c r="M1296" i="2"/>
  <c r="M1295" i="2"/>
  <c r="M1294" i="2"/>
  <c r="M1293" i="2"/>
  <c r="M1292" i="2"/>
  <c r="M1291" i="2"/>
  <c r="M1290" i="2"/>
  <c r="M1289" i="2"/>
  <c r="M1288" i="2"/>
  <c r="M1287" i="2"/>
  <c r="M1286" i="2"/>
  <c r="M1285" i="2"/>
  <c r="M1284" i="2"/>
  <c r="M1283" i="2"/>
  <c r="M1282" i="2"/>
  <c r="M1281" i="2"/>
  <c r="M1280" i="2"/>
  <c r="M1279" i="2"/>
  <c r="M1278" i="2"/>
  <c r="M1277" i="2"/>
  <c r="M1276" i="2"/>
  <c r="M1275" i="2"/>
  <c r="M1274" i="2"/>
  <c r="M1273" i="2"/>
  <c r="M1272" i="2"/>
  <c r="M1270" i="2"/>
  <c r="M1268" i="2"/>
  <c r="M1266" i="2"/>
  <c r="M1264" i="2"/>
  <c r="M1263" i="2"/>
  <c r="M1259" i="2"/>
  <c r="M1258" i="2"/>
  <c r="M1257" i="2"/>
  <c r="M1256" i="2"/>
  <c r="M1255" i="2"/>
  <c r="M1254" i="2"/>
  <c r="M1253" i="2"/>
  <c r="M1252" i="2"/>
  <c r="M1251" i="2"/>
  <c r="M1250" i="2"/>
  <c r="M1249" i="2"/>
  <c r="M1248" i="2"/>
  <c r="M1247" i="2"/>
  <c r="M1246" i="2"/>
  <c r="M1245" i="2"/>
  <c r="M1244" i="2"/>
  <c r="M1243" i="2"/>
  <c r="M1242" i="2"/>
  <c r="M1241" i="2"/>
  <c r="M1240" i="2"/>
  <c r="M1239" i="2"/>
  <c r="M1238" i="2"/>
  <c r="M1237" i="2"/>
  <c r="M1236" i="2"/>
  <c r="M1235" i="2"/>
  <c r="M1234" i="2"/>
  <c r="M1233" i="2"/>
  <c r="M1232" i="2"/>
  <c r="M1231" i="2"/>
  <c r="M1230" i="2"/>
  <c r="M1228" i="2"/>
  <c r="M1226" i="2"/>
  <c r="M1224" i="2"/>
  <c r="M1222" i="2"/>
  <c r="M1221" i="2"/>
  <c r="M1217" i="2"/>
  <c r="M1216" i="2"/>
  <c r="M1215" i="2"/>
  <c r="M1214" i="2"/>
  <c r="M1213" i="2"/>
  <c r="M1212" i="2"/>
  <c r="M1211" i="2"/>
  <c r="M1210" i="2"/>
  <c r="M1209" i="2"/>
  <c r="M1208" i="2"/>
  <c r="M1207" i="2"/>
  <c r="M1206" i="2"/>
  <c r="M1205" i="2"/>
  <c r="M1204" i="2"/>
  <c r="M1203" i="2"/>
  <c r="M1202" i="2"/>
  <c r="M1201" i="2"/>
  <c r="M1200" i="2"/>
  <c r="M1199" i="2"/>
  <c r="M1198" i="2"/>
  <c r="M1197" i="2"/>
  <c r="M1196" i="2"/>
  <c r="M1195" i="2"/>
  <c r="M1194" i="2"/>
  <c r="M1193" i="2"/>
  <c r="M1192" i="2"/>
  <c r="M1191" i="2"/>
  <c r="M1190" i="2"/>
  <c r="M1189" i="2"/>
  <c r="M1188" i="2"/>
  <c r="M1186" i="2"/>
  <c r="M1184" i="2"/>
  <c r="M1182" i="2"/>
  <c r="M1180" i="2"/>
  <c r="M1179" i="2"/>
  <c r="M1175" i="2"/>
  <c r="M1174" i="2"/>
  <c r="M1173" i="2"/>
  <c r="M1172" i="2"/>
  <c r="M1171" i="2"/>
  <c r="M1170" i="2"/>
  <c r="M1169" i="2"/>
  <c r="M1168" i="2"/>
  <c r="M1167" i="2"/>
  <c r="M1166" i="2"/>
  <c r="M1165" i="2"/>
  <c r="M1164" i="2"/>
  <c r="M1163" i="2"/>
  <c r="M1162" i="2"/>
  <c r="M1161" i="2"/>
  <c r="M1160" i="2"/>
  <c r="M1159" i="2"/>
  <c r="M1158" i="2"/>
  <c r="M1157" i="2"/>
  <c r="M1156" i="2"/>
  <c r="M1155" i="2"/>
  <c r="M1154" i="2"/>
  <c r="M1153" i="2"/>
  <c r="M1152" i="2"/>
  <c r="M1151" i="2"/>
  <c r="M1150" i="2"/>
  <c r="M1149" i="2"/>
  <c r="M1148" i="2"/>
  <c r="M1147" i="2"/>
  <c r="M1146" i="2"/>
  <c r="M1144" i="2"/>
  <c r="M1142" i="2"/>
  <c r="M1140" i="2"/>
  <c r="M1138" i="2"/>
  <c r="M1137" i="2"/>
  <c r="M1133" i="2"/>
  <c r="M1132" i="2"/>
  <c r="M1131" i="2"/>
  <c r="M1130" i="2"/>
  <c r="M1129" i="2"/>
  <c r="M1128" i="2"/>
  <c r="M1127" i="2"/>
  <c r="M1126" i="2"/>
  <c r="M1125" i="2"/>
  <c r="M1124" i="2"/>
  <c r="M1123" i="2"/>
  <c r="M1122" i="2"/>
  <c r="M1121" i="2"/>
  <c r="M1120" i="2"/>
  <c r="M1119" i="2"/>
  <c r="M1118" i="2"/>
  <c r="M1117" i="2"/>
  <c r="M1116" i="2"/>
  <c r="M1115" i="2"/>
  <c r="M1114" i="2"/>
  <c r="M1113" i="2"/>
  <c r="M1112" i="2"/>
  <c r="M1111" i="2"/>
  <c r="M1110" i="2"/>
  <c r="M1109" i="2"/>
  <c r="M1108" i="2"/>
  <c r="M1107" i="2"/>
  <c r="M1106" i="2"/>
  <c r="M1105" i="2"/>
  <c r="M1104" i="2"/>
  <c r="M1102" i="2"/>
  <c r="M1100" i="2"/>
  <c r="M1098" i="2"/>
  <c r="M1096" i="2"/>
  <c r="M1095" i="2"/>
  <c r="M1091" i="2"/>
  <c r="M1090" i="2"/>
  <c r="M1089" i="2"/>
  <c r="M1088" i="2"/>
  <c r="M1087" i="2"/>
  <c r="M1086" i="2"/>
  <c r="M1085" i="2"/>
  <c r="M1084" i="2"/>
  <c r="M1083" i="2"/>
  <c r="M1082" i="2"/>
  <c r="M1081" i="2"/>
  <c r="M1080" i="2"/>
  <c r="M1079" i="2"/>
  <c r="M1078" i="2"/>
  <c r="M1077" i="2"/>
  <c r="M1076" i="2"/>
  <c r="M1075" i="2"/>
  <c r="M1074" i="2"/>
  <c r="M1073" i="2"/>
  <c r="M1072" i="2"/>
  <c r="M1071" i="2"/>
  <c r="M1070" i="2"/>
  <c r="M1069" i="2"/>
  <c r="M1068" i="2"/>
  <c r="M1067" i="2"/>
  <c r="M1066" i="2"/>
  <c r="M1065" i="2"/>
  <c r="M1064" i="2"/>
  <c r="M1063" i="2"/>
  <c r="M1062" i="2"/>
  <c r="M1060" i="2"/>
  <c r="M1058" i="2"/>
  <c r="M1056" i="2"/>
  <c r="M1054" i="2"/>
  <c r="M1053" i="2"/>
  <c r="M1049" i="2"/>
  <c r="M1048" i="2"/>
  <c r="M1047" i="2"/>
  <c r="M1046" i="2"/>
  <c r="M1045" i="2"/>
  <c r="M1044" i="2"/>
  <c r="M1043" i="2"/>
  <c r="M1042" i="2"/>
  <c r="M1041" i="2"/>
  <c r="M1040" i="2"/>
  <c r="M1039" i="2"/>
  <c r="M1038" i="2"/>
  <c r="M1037" i="2"/>
  <c r="M1036" i="2"/>
  <c r="M1035" i="2"/>
  <c r="M1034" i="2"/>
  <c r="M1033" i="2"/>
  <c r="M1032" i="2"/>
  <c r="M1031" i="2"/>
  <c r="M1030" i="2"/>
  <c r="M1029" i="2"/>
  <c r="M1028" i="2"/>
  <c r="M1027" i="2"/>
  <c r="M1026" i="2"/>
  <c r="M1025" i="2"/>
  <c r="M1024" i="2"/>
  <c r="M1023" i="2"/>
  <c r="M1022" i="2"/>
  <c r="M1021" i="2"/>
  <c r="M1020" i="2"/>
  <c r="M1018" i="2"/>
  <c r="M1016" i="2"/>
  <c r="M1014" i="2"/>
  <c r="M1012" i="2"/>
  <c r="M1011" i="2"/>
  <c r="M1007" i="2"/>
  <c r="M1006" i="2"/>
  <c r="M1005" i="2"/>
  <c r="M1004" i="2"/>
  <c r="M1003" i="2"/>
  <c r="M1002" i="2"/>
  <c r="M1001" i="2"/>
  <c r="M1000" i="2"/>
  <c r="M999" i="2"/>
  <c r="M998" i="2"/>
  <c r="M997" i="2"/>
  <c r="M996" i="2"/>
  <c r="M995" i="2"/>
  <c r="M994" i="2"/>
  <c r="M993" i="2"/>
  <c r="M992" i="2"/>
  <c r="M991" i="2"/>
  <c r="M990" i="2"/>
  <c r="M989" i="2"/>
  <c r="M988" i="2"/>
  <c r="M987" i="2"/>
  <c r="M986" i="2"/>
  <c r="M985" i="2"/>
  <c r="M984" i="2"/>
  <c r="M983" i="2"/>
  <c r="M982" i="2"/>
  <c r="M981" i="2"/>
  <c r="M980" i="2"/>
  <c r="M979" i="2"/>
  <c r="M978" i="2"/>
  <c r="M976" i="2"/>
  <c r="M974" i="2"/>
  <c r="M972" i="2"/>
  <c r="M970" i="2"/>
  <c r="M969" i="2"/>
  <c r="M965" i="2"/>
  <c r="M964" i="2"/>
  <c r="M963" i="2"/>
  <c r="M962" i="2"/>
  <c r="M961" i="2"/>
  <c r="M960" i="2"/>
  <c r="M959" i="2"/>
  <c r="M958" i="2"/>
  <c r="M957" i="2"/>
  <c r="M956" i="2"/>
  <c r="M955" i="2"/>
  <c r="M954" i="2"/>
  <c r="M953" i="2"/>
  <c r="M952" i="2"/>
  <c r="M951" i="2"/>
  <c r="M950" i="2"/>
  <c r="M949" i="2"/>
  <c r="M948" i="2"/>
  <c r="M947" i="2"/>
  <c r="M946" i="2"/>
  <c r="M945" i="2"/>
  <c r="M944" i="2"/>
  <c r="M943" i="2"/>
  <c r="M942" i="2"/>
  <c r="M941" i="2"/>
  <c r="M940" i="2"/>
  <c r="M939" i="2"/>
  <c r="M938" i="2"/>
  <c r="M937" i="2"/>
  <c r="M936" i="2"/>
  <c r="M934" i="2"/>
  <c r="M932" i="2"/>
  <c r="M930" i="2"/>
  <c r="M928" i="2"/>
  <c r="M927" i="2"/>
  <c r="M923" i="2"/>
  <c r="M922" i="2"/>
  <c r="M921" i="2"/>
  <c r="M920" i="2"/>
  <c r="M919" i="2"/>
  <c r="M918" i="2"/>
  <c r="M917" i="2"/>
  <c r="M916" i="2"/>
  <c r="M915" i="2"/>
  <c r="M914" i="2"/>
  <c r="M913" i="2"/>
  <c r="M912" i="2"/>
  <c r="M911" i="2"/>
  <c r="M910" i="2"/>
  <c r="M909" i="2"/>
  <c r="M908" i="2"/>
  <c r="M907" i="2"/>
  <c r="M906" i="2"/>
  <c r="M905" i="2"/>
  <c r="M904" i="2"/>
  <c r="M903" i="2"/>
  <c r="M902" i="2"/>
  <c r="M901" i="2"/>
  <c r="M900" i="2"/>
  <c r="M899" i="2"/>
  <c r="M898" i="2"/>
  <c r="M897" i="2"/>
  <c r="M896" i="2"/>
  <c r="M895" i="2"/>
  <c r="M894" i="2"/>
  <c r="M892" i="2"/>
  <c r="M890" i="2"/>
  <c r="M888" i="2"/>
  <c r="M886" i="2"/>
  <c r="M885" i="2"/>
  <c r="M881" i="2"/>
  <c r="M880" i="2"/>
  <c r="M879" i="2"/>
  <c r="M878" i="2"/>
  <c r="M877" i="2"/>
  <c r="M876" i="2"/>
  <c r="M875" i="2"/>
  <c r="M874" i="2"/>
  <c r="M873" i="2"/>
  <c r="M872" i="2"/>
  <c r="M871" i="2"/>
  <c r="M870" i="2"/>
  <c r="M869" i="2"/>
  <c r="M868" i="2"/>
  <c r="M867" i="2"/>
  <c r="M866" i="2"/>
  <c r="M865" i="2"/>
  <c r="M864" i="2"/>
  <c r="M863" i="2"/>
  <c r="M862" i="2"/>
  <c r="M861" i="2"/>
  <c r="M860" i="2"/>
  <c r="M859" i="2"/>
  <c r="M858" i="2"/>
  <c r="M857" i="2"/>
  <c r="M856" i="2"/>
  <c r="M855" i="2"/>
  <c r="M854" i="2"/>
  <c r="M853" i="2"/>
  <c r="M852" i="2"/>
  <c r="M850" i="2"/>
  <c r="M848" i="2"/>
  <c r="M846" i="2"/>
  <c r="M844" i="2"/>
  <c r="M843" i="2"/>
  <c r="M839" i="2"/>
  <c r="M838" i="2"/>
  <c r="M837" i="2"/>
  <c r="M836" i="2"/>
  <c r="M835" i="2"/>
  <c r="M834" i="2"/>
  <c r="M833" i="2"/>
  <c r="M832" i="2"/>
  <c r="M831" i="2"/>
  <c r="M830" i="2"/>
  <c r="M829" i="2"/>
  <c r="M828" i="2"/>
  <c r="M827" i="2"/>
  <c r="M826" i="2"/>
  <c r="M825" i="2"/>
  <c r="M824" i="2"/>
  <c r="M823" i="2"/>
  <c r="M822" i="2"/>
  <c r="M821" i="2"/>
  <c r="M820" i="2"/>
  <c r="M819" i="2"/>
  <c r="M818" i="2"/>
  <c r="M817" i="2"/>
  <c r="M816" i="2"/>
  <c r="M815" i="2"/>
  <c r="M814" i="2"/>
  <c r="M813" i="2"/>
  <c r="M812" i="2"/>
  <c r="M811" i="2"/>
  <c r="M810" i="2"/>
  <c r="M808" i="2"/>
  <c r="M806" i="2"/>
  <c r="M804" i="2"/>
  <c r="M802" i="2"/>
  <c r="M801" i="2"/>
  <c r="M797" i="2"/>
  <c r="M796" i="2"/>
  <c r="M795" i="2"/>
  <c r="M794" i="2"/>
  <c r="M793" i="2"/>
  <c r="M792" i="2"/>
  <c r="M791" i="2"/>
  <c r="M790" i="2"/>
  <c r="M789" i="2"/>
  <c r="M788" i="2"/>
  <c r="M787" i="2"/>
  <c r="M786" i="2"/>
  <c r="M785" i="2"/>
  <c r="M784" i="2"/>
  <c r="M783" i="2"/>
  <c r="M782" i="2"/>
  <c r="M781" i="2"/>
  <c r="M780" i="2"/>
  <c r="M779" i="2"/>
  <c r="M778" i="2"/>
  <c r="M777" i="2"/>
  <c r="M776" i="2"/>
  <c r="M775" i="2"/>
  <c r="M774" i="2"/>
  <c r="M773" i="2"/>
  <c r="M772" i="2"/>
  <c r="M771" i="2"/>
  <c r="M770" i="2"/>
  <c r="M769" i="2"/>
  <c r="M768" i="2"/>
  <c r="M766" i="2"/>
  <c r="M764" i="2"/>
  <c r="M762" i="2"/>
  <c r="M760" i="2"/>
  <c r="M759" i="2"/>
  <c r="M755" i="2"/>
  <c r="M754" i="2"/>
  <c r="M753" i="2"/>
  <c r="M752" i="2"/>
  <c r="M751" i="2"/>
  <c r="M750" i="2"/>
  <c r="M749" i="2"/>
  <c r="M748" i="2"/>
  <c r="M747" i="2"/>
  <c r="M746" i="2"/>
  <c r="M745" i="2"/>
  <c r="M744" i="2"/>
  <c r="M743" i="2"/>
  <c r="M742" i="2"/>
  <c r="M741" i="2"/>
  <c r="M740" i="2"/>
  <c r="M739" i="2"/>
  <c r="M738" i="2"/>
  <c r="M737" i="2"/>
  <c r="M736" i="2"/>
  <c r="M735" i="2"/>
  <c r="M734" i="2"/>
  <c r="M733" i="2"/>
  <c r="M732" i="2"/>
  <c r="M731" i="2"/>
  <c r="M730" i="2"/>
  <c r="M729" i="2"/>
  <c r="M728" i="2"/>
  <c r="M727" i="2"/>
  <c r="M726" i="2"/>
  <c r="M724" i="2"/>
  <c r="M722" i="2"/>
  <c r="M720" i="2"/>
  <c r="M718" i="2"/>
  <c r="M717" i="2"/>
  <c r="M713" i="2"/>
  <c r="M712" i="2"/>
  <c r="M711" i="2"/>
  <c r="M710" i="2"/>
  <c r="M709" i="2"/>
  <c r="M708" i="2"/>
  <c r="M707" i="2"/>
  <c r="M706" i="2"/>
  <c r="M705" i="2"/>
  <c r="M704" i="2"/>
  <c r="M703" i="2"/>
  <c r="M702" i="2"/>
  <c r="M701" i="2"/>
  <c r="M700" i="2"/>
  <c r="M699" i="2"/>
  <c r="M698" i="2"/>
  <c r="M697" i="2"/>
  <c r="M696" i="2"/>
  <c r="M695" i="2"/>
  <c r="M694" i="2"/>
  <c r="M693" i="2"/>
  <c r="M692" i="2"/>
  <c r="M691" i="2"/>
  <c r="M690" i="2"/>
  <c r="M689" i="2"/>
  <c r="M688" i="2"/>
  <c r="M687" i="2"/>
  <c r="M686" i="2"/>
  <c r="M685" i="2"/>
  <c r="M684" i="2"/>
  <c r="M682" i="2"/>
  <c r="M680" i="2"/>
  <c r="M678" i="2"/>
  <c r="M676" i="2"/>
  <c r="M675" i="2"/>
  <c r="M671" i="2"/>
  <c r="M670" i="2"/>
  <c r="M669" i="2"/>
  <c r="M668" i="2"/>
  <c r="M667" i="2"/>
  <c r="M666" i="2"/>
  <c r="M665" i="2"/>
  <c r="M664" i="2"/>
  <c r="M663" i="2"/>
  <c r="M662" i="2"/>
  <c r="M661" i="2"/>
  <c r="M660" i="2"/>
  <c r="M659" i="2"/>
  <c r="M658" i="2"/>
  <c r="M657" i="2"/>
  <c r="M656" i="2"/>
  <c r="M655" i="2"/>
  <c r="M654" i="2"/>
  <c r="M653" i="2"/>
  <c r="M652" i="2"/>
  <c r="M651" i="2"/>
  <c r="M650" i="2"/>
  <c r="M649" i="2"/>
  <c r="M648" i="2"/>
  <c r="M647" i="2"/>
  <c r="M646" i="2"/>
  <c r="M645" i="2"/>
  <c r="M644" i="2"/>
  <c r="M643" i="2"/>
  <c r="M642" i="2"/>
  <c r="M640" i="2"/>
  <c r="M638" i="2"/>
  <c r="M636" i="2"/>
  <c r="M634" i="2"/>
  <c r="M633" i="2"/>
  <c r="M629" i="2"/>
  <c r="M628" i="2"/>
  <c r="M627" i="2"/>
  <c r="M626" i="2"/>
  <c r="M625" i="2"/>
  <c r="M624" i="2"/>
  <c r="M623" i="2"/>
  <c r="M622" i="2"/>
  <c r="M621" i="2"/>
  <c r="M620" i="2"/>
  <c r="M619" i="2"/>
  <c r="M618" i="2"/>
  <c r="M617" i="2"/>
  <c r="M616" i="2"/>
  <c r="M615" i="2"/>
  <c r="M614" i="2"/>
  <c r="M613" i="2"/>
  <c r="M612" i="2"/>
  <c r="M611" i="2"/>
  <c r="M610" i="2"/>
  <c r="M609" i="2"/>
  <c r="M608" i="2"/>
  <c r="M607" i="2"/>
  <c r="M606" i="2"/>
  <c r="M605" i="2"/>
  <c r="M604" i="2"/>
  <c r="M603" i="2"/>
  <c r="M602" i="2"/>
  <c r="M601" i="2"/>
  <c r="M600" i="2"/>
  <c r="M598" i="2"/>
  <c r="M596" i="2"/>
  <c r="M594" i="2"/>
  <c r="M592" i="2"/>
  <c r="M591" i="2"/>
  <c r="M545" i="2"/>
  <c r="M544" i="2"/>
  <c r="M543" i="2"/>
  <c r="M542" i="2"/>
  <c r="M541" i="2"/>
  <c r="M540" i="2"/>
  <c r="M539" i="2"/>
  <c r="M538" i="2"/>
  <c r="M537" i="2"/>
  <c r="M536" i="2"/>
  <c r="M535" i="2"/>
  <c r="M534" i="2"/>
  <c r="M533" i="2"/>
  <c r="M532" i="2"/>
  <c r="M531" i="2"/>
  <c r="M530" i="2"/>
  <c r="M529" i="2"/>
  <c r="M528" i="2"/>
  <c r="M527" i="2"/>
  <c r="M526" i="2"/>
  <c r="M525" i="2"/>
  <c r="M524" i="2"/>
  <c r="M523" i="2"/>
  <c r="M522" i="2"/>
  <c r="M521" i="2"/>
  <c r="M520" i="2"/>
  <c r="M519" i="2"/>
  <c r="M518" i="2"/>
  <c r="M517" i="2"/>
  <c r="M516" i="2"/>
  <c r="M514" i="2"/>
  <c r="M512" i="2"/>
  <c r="M510" i="2"/>
  <c r="M508" i="2"/>
  <c r="M507" i="2"/>
  <c r="M503" i="2"/>
  <c r="M502" i="2"/>
  <c r="M501" i="2"/>
  <c r="M500" i="2"/>
  <c r="M499" i="2"/>
  <c r="M498" i="2"/>
  <c r="M497" i="2"/>
  <c r="M496" i="2"/>
  <c r="M495" i="2"/>
  <c r="M494" i="2"/>
  <c r="M493" i="2"/>
  <c r="M492" i="2"/>
  <c r="M491" i="2"/>
  <c r="M490" i="2"/>
  <c r="M489" i="2"/>
  <c r="M488" i="2"/>
  <c r="M487" i="2"/>
  <c r="M486" i="2"/>
  <c r="M485" i="2"/>
  <c r="M484" i="2"/>
  <c r="M483" i="2"/>
  <c r="M482" i="2"/>
  <c r="M481" i="2"/>
  <c r="M480" i="2"/>
  <c r="M479" i="2"/>
  <c r="M478" i="2"/>
  <c r="M477" i="2"/>
  <c r="M476" i="2"/>
  <c r="M475" i="2"/>
  <c r="M474" i="2"/>
  <c r="M472" i="2"/>
  <c r="M470" i="2"/>
  <c r="M468" i="2"/>
  <c r="M466" i="2"/>
  <c r="M465" i="2"/>
  <c r="M461" i="2"/>
  <c r="M460" i="2"/>
  <c r="M459" i="2"/>
  <c r="M458" i="2"/>
  <c r="M457" i="2"/>
  <c r="M456" i="2"/>
  <c r="M455" i="2"/>
  <c r="M454" i="2"/>
  <c r="M453" i="2"/>
  <c r="M452" i="2"/>
  <c r="M451" i="2"/>
  <c r="M450" i="2"/>
  <c r="M449" i="2"/>
  <c r="M448" i="2"/>
  <c r="M447" i="2"/>
  <c r="M446" i="2"/>
  <c r="M445" i="2"/>
  <c r="M444" i="2"/>
  <c r="M443" i="2"/>
  <c r="M442" i="2"/>
  <c r="M441" i="2"/>
  <c r="M440" i="2"/>
  <c r="M439" i="2"/>
  <c r="M438" i="2"/>
  <c r="M437" i="2"/>
  <c r="M436" i="2"/>
  <c r="M435" i="2"/>
  <c r="M434" i="2"/>
  <c r="M433" i="2"/>
  <c r="M432" i="2"/>
  <c r="M430" i="2"/>
  <c r="M428" i="2"/>
  <c r="M426" i="2"/>
  <c r="M424" i="2"/>
  <c r="M423" i="2"/>
  <c r="M419" i="2"/>
  <c r="M418" i="2"/>
  <c r="M417" i="2"/>
  <c r="M416" i="2"/>
  <c r="M415" i="2"/>
  <c r="M414" i="2"/>
  <c r="M413" i="2"/>
  <c r="M412" i="2"/>
  <c r="M411" i="2"/>
  <c r="M410" i="2"/>
  <c r="M409" i="2"/>
  <c r="M408" i="2"/>
  <c r="M407" i="2"/>
  <c r="M406" i="2"/>
  <c r="M405" i="2"/>
  <c r="M404" i="2"/>
  <c r="M403" i="2"/>
  <c r="M402" i="2"/>
  <c r="M401" i="2"/>
  <c r="M400" i="2"/>
  <c r="M399" i="2"/>
  <c r="M398" i="2"/>
  <c r="M397" i="2"/>
  <c r="M396" i="2"/>
  <c r="M395" i="2"/>
  <c r="M394" i="2"/>
  <c r="M393" i="2"/>
  <c r="M392" i="2"/>
  <c r="M391" i="2"/>
  <c r="M390" i="2"/>
  <c r="M388" i="2"/>
  <c r="M386" i="2"/>
  <c r="M384" i="2"/>
  <c r="M382" i="2"/>
  <c r="M381" i="2"/>
  <c r="M377" i="2"/>
  <c r="M376" i="2"/>
  <c r="M375" i="2"/>
  <c r="M374" i="2"/>
  <c r="M373" i="2"/>
  <c r="M372" i="2"/>
  <c r="M371" i="2"/>
  <c r="M370" i="2"/>
  <c r="M369" i="2"/>
  <c r="M368" i="2"/>
  <c r="M367" i="2"/>
  <c r="M366" i="2"/>
  <c r="M365" i="2"/>
  <c r="M364" i="2"/>
  <c r="M363" i="2"/>
  <c r="M362" i="2"/>
  <c r="M361" i="2"/>
  <c r="M360" i="2"/>
  <c r="M359" i="2"/>
  <c r="M358" i="2"/>
  <c r="M357" i="2"/>
  <c r="M356" i="2"/>
  <c r="M355" i="2"/>
  <c r="M354" i="2"/>
  <c r="M353" i="2"/>
  <c r="M352" i="2"/>
  <c r="M351" i="2"/>
  <c r="M350" i="2"/>
  <c r="M349" i="2"/>
  <c r="M348" i="2"/>
  <c r="M346" i="2"/>
  <c r="M344" i="2"/>
  <c r="M342" i="2"/>
  <c r="M340" i="2"/>
  <c r="M339" i="2"/>
  <c r="M335" i="2"/>
  <c r="M334" i="2"/>
  <c r="M333" i="2"/>
  <c r="M332" i="2"/>
  <c r="M331" i="2"/>
  <c r="M330" i="2"/>
  <c r="M329" i="2"/>
  <c r="M328" i="2"/>
  <c r="M327" i="2"/>
  <c r="M326" i="2"/>
  <c r="M325" i="2"/>
  <c r="M324" i="2"/>
  <c r="M323" i="2"/>
  <c r="M322" i="2"/>
  <c r="M321" i="2"/>
  <c r="M320" i="2"/>
  <c r="M319" i="2"/>
  <c r="M318" i="2"/>
  <c r="M317" i="2"/>
  <c r="M316" i="2"/>
  <c r="M315" i="2"/>
  <c r="M314" i="2"/>
  <c r="M313" i="2"/>
  <c r="M312" i="2"/>
  <c r="M311" i="2"/>
  <c r="M310" i="2"/>
  <c r="M309" i="2"/>
  <c r="M308" i="2"/>
  <c r="M307" i="2"/>
  <c r="M306" i="2"/>
  <c r="M304" i="2"/>
  <c r="M302" i="2"/>
  <c r="M300" i="2"/>
  <c r="M298" i="2"/>
  <c r="M297" i="2"/>
  <c r="M293" i="2"/>
  <c r="M292" i="2"/>
  <c r="M291" i="2"/>
  <c r="M290" i="2"/>
  <c r="M289" i="2"/>
  <c r="M288" i="2"/>
  <c r="M287" i="2"/>
  <c r="M286" i="2"/>
  <c r="M285" i="2"/>
  <c r="M284" i="2"/>
  <c r="M283" i="2"/>
  <c r="M282" i="2"/>
  <c r="M281" i="2"/>
  <c r="M280" i="2"/>
  <c r="M279" i="2"/>
  <c r="M278" i="2"/>
  <c r="M277" i="2"/>
  <c r="M276" i="2"/>
  <c r="M275" i="2"/>
  <c r="M274" i="2"/>
  <c r="M273" i="2"/>
  <c r="M272" i="2"/>
  <c r="M271" i="2"/>
  <c r="M270" i="2"/>
  <c r="M269" i="2"/>
  <c r="M268" i="2"/>
  <c r="M267" i="2"/>
  <c r="M266" i="2"/>
  <c r="M265" i="2"/>
  <c r="M264" i="2"/>
  <c r="M262" i="2"/>
  <c r="M260" i="2"/>
  <c r="M258" i="2"/>
  <c r="M256" i="2"/>
  <c r="M255" i="2"/>
  <c r="M251" i="2"/>
  <c r="M250" i="2"/>
  <c r="M249" i="2"/>
  <c r="M248" i="2"/>
  <c r="M247" i="2"/>
  <c r="M246" i="2"/>
  <c r="M245" i="2"/>
  <c r="M244" i="2"/>
  <c r="M243" i="2"/>
  <c r="M242" i="2"/>
  <c r="M241" i="2"/>
  <c r="M240" i="2"/>
  <c r="M239" i="2"/>
  <c r="M238" i="2"/>
  <c r="M237" i="2"/>
  <c r="M236" i="2"/>
  <c r="M235" i="2"/>
  <c r="M234" i="2"/>
  <c r="M233" i="2"/>
  <c r="M232" i="2"/>
  <c r="M231" i="2"/>
  <c r="M230" i="2"/>
  <c r="M229" i="2"/>
  <c r="M228" i="2"/>
  <c r="M227" i="2"/>
  <c r="M226" i="2"/>
  <c r="M225" i="2"/>
  <c r="M224" i="2"/>
  <c r="M223" i="2"/>
  <c r="M222" i="2"/>
  <c r="M220" i="2"/>
  <c r="M218" i="2"/>
  <c r="M216" i="2"/>
  <c r="M214" i="2"/>
  <c r="M213" i="2"/>
  <c r="M209" i="2"/>
  <c r="M208" i="2"/>
  <c r="M207" i="2"/>
  <c r="M206" i="2"/>
  <c r="M205" i="2"/>
  <c r="M204" i="2"/>
  <c r="M203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8" i="2"/>
  <c r="M176" i="2"/>
  <c r="M174" i="2"/>
  <c r="M172" i="2"/>
  <c r="M171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6" i="2"/>
  <c r="M134" i="2"/>
  <c r="M132" i="2"/>
  <c r="M130" i="2"/>
  <c r="M129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4" i="2"/>
  <c r="M92" i="2"/>
  <c r="M90" i="2"/>
  <c r="M88" i="2"/>
  <c r="M87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2" i="2"/>
  <c r="M50" i="2"/>
  <c r="M48" i="2"/>
  <c r="M46" i="2"/>
  <c r="M45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0" i="2"/>
  <c r="M8" i="2"/>
  <c r="M6" i="2"/>
  <c r="M4" i="2"/>
  <c r="M3" i="2"/>
  <c r="L1385" i="2"/>
  <c r="L1384" i="2"/>
  <c r="L1383" i="2"/>
  <c r="L1382" i="2"/>
  <c r="L1381" i="2"/>
  <c r="L1380" i="2"/>
  <c r="L1379" i="2"/>
  <c r="L1378" i="2"/>
  <c r="L1377" i="2"/>
  <c r="L1376" i="2"/>
  <c r="L1375" i="2"/>
  <c r="L1374" i="2"/>
  <c r="L1373" i="2"/>
  <c r="L1372" i="2"/>
  <c r="L1371" i="2"/>
  <c r="L1370" i="2"/>
  <c r="L1369" i="2"/>
  <c r="L1368" i="2"/>
  <c r="L1367" i="2"/>
  <c r="L1366" i="2"/>
  <c r="L1365" i="2"/>
  <c r="L1364" i="2"/>
  <c r="L1363" i="2"/>
  <c r="L1362" i="2"/>
  <c r="L1361" i="2"/>
  <c r="L1360" i="2"/>
  <c r="L1359" i="2"/>
  <c r="L1358" i="2"/>
  <c r="L1357" i="2"/>
  <c r="L1356" i="2"/>
  <c r="L1354" i="2"/>
  <c r="L1352" i="2"/>
  <c r="L1350" i="2"/>
  <c r="L1348" i="2"/>
  <c r="L1347" i="2"/>
  <c r="L1343" i="2"/>
  <c r="L1342" i="2"/>
  <c r="L1341" i="2"/>
  <c r="L1340" i="2"/>
  <c r="L1339" i="2"/>
  <c r="L1338" i="2"/>
  <c r="L1337" i="2"/>
  <c r="L1336" i="2"/>
  <c r="L1335" i="2"/>
  <c r="L1334" i="2"/>
  <c r="L1333" i="2"/>
  <c r="L1332" i="2"/>
  <c r="L1331" i="2"/>
  <c r="L1330" i="2"/>
  <c r="L1329" i="2"/>
  <c r="L1328" i="2"/>
  <c r="L1327" i="2"/>
  <c r="L1326" i="2"/>
  <c r="L1325" i="2"/>
  <c r="L1324" i="2"/>
  <c r="L1323" i="2"/>
  <c r="L1322" i="2"/>
  <c r="L1321" i="2"/>
  <c r="L1320" i="2"/>
  <c r="L1319" i="2"/>
  <c r="L1318" i="2"/>
  <c r="L1317" i="2"/>
  <c r="L1316" i="2"/>
  <c r="L1315" i="2"/>
  <c r="L1314" i="2"/>
  <c r="L1312" i="2"/>
  <c r="L1310" i="2"/>
  <c r="L1308" i="2"/>
  <c r="L1306" i="2"/>
  <c r="L1305" i="2"/>
  <c r="L1301" i="2"/>
  <c r="L1300" i="2"/>
  <c r="L1299" i="2"/>
  <c r="L1298" i="2"/>
  <c r="L1297" i="2"/>
  <c r="L1296" i="2"/>
  <c r="L1295" i="2"/>
  <c r="L1294" i="2"/>
  <c r="L1293" i="2"/>
  <c r="L1292" i="2"/>
  <c r="L1291" i="2"/>
  <c r="L1290" i="2"/>
  <c r="L1289" i="2"/>
  <c r="L1288" i="2"/>
  <c r="L1287" i="2"/>
  <c r="L1286" i="2"/>
  <c r="L1285" i="2"/>
  <c r="L1284" i="2"/>
  <c r="L1283" i="2"/>
  <c r="L1282" i="2"/>
  <c r="L1281" i="2"/>
  <c r="L1280" i="2"/>
  <c r="L1279" i="2"/>
  <c r="L1278" i="2"/>
  <c r="L1277" i="2"/>
  <c r="L1276" i="2"/>
  <c r="L1275" i="2"/>
  <c r="L1274" i="2"/>
  <c r="L1273" i="2"/>
  <c r="L1272" i="2"/>
  <c r="L1270" i="2"/>
  <c r="L1268" i="2"/>
  <c r="L1266" i="2"/>
  <c r="L1264" i="2"/>
  <c r="L1263" i="2"/>
  <c r="L1259" i="2"/>
  <c r="L1258" i="2"/>
  <c r="L1257" i="2"/>
  <c r="L1256" i="2"/>
  <c r="L1255" i="2"/>
  <c r="L1254" i="2"/>
  <c r="L1253" i="2"/>
  <c r="L1252" i="2"/>
  <c r="L1251" i="2"/>
  <c r="L1250" i="2"/>
  <c r="L1249" i="2"/>
  <c r="L1248" i="2"/>
  <c r="L1247" i="2"/>
  <c r="L1246" i="2"/>
  <c r="L1245" i="2"/>
  <c r="L1244" i="2"/>
  <c r="L1243" i="2"/>
  <c r="L1242" i="2"/>
  <c r="L1241" i="2"/>
  <c r="L1240" i="2"/>
  <c r="L1239" i="2"/>
  <c r="L1238" i="2"/>
  <c r="L1237" i="2"/>
  <c r="L1236" i="2"/>
  <c r="L1235" i="2"/>
  <c r="L1234" i="2"/>
  <c r="L1233" i="2"/>
  <c r="L1232" i="2"/>
  <c r="L1231" i="2"/>
  <c r="L1230" i="2"/>
  <c r="L1228" i="2"/>
  <c r="L1226" i="2"/>
  <c r="L1224" i="2"/>
  <c r="L1222" i="2"/>
  <c r="L1221" i="2"/>
  <c r="L1217" i="2"/>
  <c r="L1216" i="2"/>
  <c r="L1215" i="2"/>
  <c r="L1214" i="2"/>
  <c r="L1213" i="2"/>
  <c r="L1212" i="2"/>
  <c r="L1211" i="2"/>
  <c r="L1210" i="2"/>
  <c r="L1209" i="2"/>
  <c r="L1208" i="2"/>
  <c r="L1207" i="2"/>
  <c r="L1206" i="2"/>
  <c r="L1205" i="2"/>
  <c r="L1204" i="2"/>
  <c r="L1203" i="2"/>
  <c r="L1202" i="2"/>
  <c r="L1201" i="2"/>
  <c r="L1200" i="2"/>
  <c r="L1199" i="2"/>
  <c r="L1198" i="2"/>
  <c r="L1197" i="2"/>
  <c r="L1196" i="2"/>
  <c r="L1195" i="2"/>
  <c r="L1194" i="2"/>
  <c r="L1193" i="2"/>
  <c r="L1192" i="2"/>
  <c r="L1191" i="2"/>
  <c r="L1190" i="2"/>
  <c r="L1189" i="2"/>
  <c r="L1188" i="2"/>
  <c r="L1186" i="2"/>
  <c r="L1184" i="2"/>
  <c r="L1182" i="2"/>
  <c r="L1180" i="2"/>
  <c r="L1179" i="2"/>
  <c r="L1175" i="2"/>
  <c r="L1174" i="2"/>
  <c r="L1173" i="2"/>
  <c r="L1172" i="2"/>
  <c r="L1171" i="2"/>
  <c r="L1170" i="2"/>
  <c r="L1169" i="2"/>
  <c r="L1168" i="2"/>
  <c r="L1167" i="2"/>
  <c r="L1166" i="2"/>
  <c r="L1165" i="2"/>
  <c r="L1164" i="2"/>
  <c r="L1163" i="2"/>
  <c r="L1162" i="2"/>
  <c r="L1161" i="2"/>
  <c r="L1160" i="2"/>
  <c r="L1159" i="2"/>
  <c r="L1158" i="2"/>
  <c r="L1157" i="2"/>
  <c r="L1156" i="2"/>
  <c r="L1155" i="2"/>
  <c r="L1154" i="2"/>
  <c r="L1153" i="2"/>
  <c r="L1152" i="2"/>
  <c r="L1151" i="2"/>
  <c r="L1150" i="2"/>
  <c r="L1149" i="2"/>
  <c r="L1148" i="2"/>
  <c r="L1147" i="2"/>
  <c r="L1146" i="2"/>
  <c r="L1144" i="2"/>
  <c r="L1142" i="2"/>
  <c r="L1140" i="2"/>
  <c r="L1138" i="2"/>
  <c r="L1137" i="2"/>
  <c r="L1133" i="2"/>
  <c r="L1132" i="2"/>
  <c r="L1131" i="2"/>
  <c r="L1130" i="2"/>
  <c r="L1129" i="2"/>
  <c r="L1128" i="2"/>
  <c r="L1127" i="2"/>
  <c r="L1126" i="2"/>
  <c r="L1125" i="2"/>
  <c r="L1124" i="2"/>
  <c r="L1123" i="2"/>
  <c r="L1122" i="2"/>
  <c r="L1121" i="2"/>
  <c r="L1120" i="2"/>
  <c r="L1119" i="2"/>
  <c r="L1118" i="2"/>
  <c r="L1117" i="2"/>
  <c r="L1116" i="2"/>
  <c r="L1115" i="2"/>
  <c r="L1114" i="2"/>
  <c r="L1113" i="2"/>
  <c r="L1112" i="2"/>
  <c r="L1111" i="2"/>
  <c r="L1110" i="2"/>
  <c r="L1109" i="2"/>
  <c r="L1108" i="2"/>
  <c r="L1107" i="2"/>
  <c r="L1106" i="2"/>
  <c r="L1105" i="2"/>
  <c r="L1104" i="2"/>
  <c r="L1102" i="2"/>
  <c r="L1100" i="2"/>
  <c r="L1098" i="2"/>
  <c r="L1096" i="2"/>
  <c r="L1095" i="2"/>
  <c r="L1091" i="2"/>
  <c r="L1090" i="2"/>
  <c r="L1089" i="2"/>
  <c r="L1088" i="2"/>
  <c r="L1087" i="2"/>
  <c r="L1086" i="2"/>
  <c r="L1085" i="2"/>
  <c r="L1084" i="2"/>
  <c r="L1083" i="2"/>
  <c r="L1082" i="2"/>
  <c r="L1081" i="2"/>
  <c r="L1080" i="2"/>
  <c r="L1079" i="2"/>
  <c r="L1078" i="2"/>
  <c r="L1077" i="2"/>
  <c r="L1076" i="2"/>
  <c r="L1075" i="2"/>
  <c r="L1074" i="2"/>
  <c r="L1073" i="2"/>
  <c r="L1072" i="2"/>
  <c r="L1071" i="2"/>
  <c r="L1070" i="2"/>
  <c r="L1069" i="2"/>
  <c r="L1068" i="2"/>
  <c r="L1067" i="2"/>
  <c r="L1066" i="2"/>
  <c r="L1065" i="2"/>
  <c r="L1064" i="2"/>
  <c r="L1063" i="2"/>
  <c r="L1062" i="2"/>
  <c r="L1060" i="2"/>
  <c r="L1058" i="2"/>
  <c r="L1056" i="2"/>
  <c r="L1054" i="2"/>
  <c r="L1053" i="2"/>
  <c r="L1049" i="2"/>
  <c r="L1048" i="2"/>
  <c r="L1047" i="2"/>
  <c r="L1046" i="2"/>
  <c r="L1045" i="2"/>
  <c r="L1044" i="2"/>
  <c r="L1043" i="2"/>
  <c r="L1042" i="2"/>
  <c r="L1041" i="2"/>
  <c r="L1040" i="2"/>
  <c r="L1039" i="2"/>
  <c r="L1038" i="2"/>
  <c r="L1037" i="2"/>
  <c r="L1036" i="2"/>
  <c r="L1035" i="2"/>
  <c r="L1034" i="2"/>
  <c r="L1033" i="2"/>
  <c r="L1032" i="2"/>
  <c r="L1031" i="2"/>
  <c r="L1030" i="2"/>
  <c r="L1029" i="2"/>
  <c r="L1028" i="2"/>
  <c r="L1027" i="2"/>
  <c r="L1026" i="2"/>
  <c r="L1025" i="2"/>
  <c r="L1024" i="2"/>
  <c r="L1023" i="2"/>
  <c r="L1022" i="2"/>
  <c r="L1021" i="2"/>
  <c r="L1020" i="2"/>
  <c r="L1018" i="2"/>
  <c r="L1016" i="2"/>
  <c r="L1014" i="2"/>
  <c r="L1012" i="2"/>
  <c r="L1011" i="2"/>
  <c r="L1007" i="2"/>
  <c r="L1006" i="2"/>
  <c r="L1005" i="2"/>
  <c r="L1004" i="2"/>
  <c r="L1003" i="2"/>
  <c r="L1002" i="2"/>
  <c r="L1001" i="2"/>
  <c r="L1000" i="2"/>
  <c r="L999" i="2"/>
  <c r="L998" i="2"/>
  <c r="L997" i="2"/>
  <c r="L996" i="2"/>
  <c r="L995" i="2"/>
  <c r="L994" i="2"/>
  <c r="L993" i="2"/>
  <c r="L992" i="2"/>
  <c r="L991" i="2"/>
  <c r="L990" i="2"/>
  <c r="L989" i="2"/>
  <c r="L988" i="2"/>
  <c r="L987" i="2"/>
  <c r="L986" i="2"/>
  <c r="L985" i="2"/>
  <c r="L984" i="2"/>
  <c r="L983" i="2"/>
  <c r="L982" i="2"/>
  <c r="L981" i="2"/>
  <c r="L980" i="2"/>
  <c r="L979" i="2"/>
  <c r="L978" i="2"/>
  <c r="L976" i="2"/>
  <c r="L974" i="2"/>
  <c r="L972" i="2"/>
  <c r="L970" i="2"/>
  <c r="L969" i="2"/>
  <c r="L965" i="2"/>
  <c r="L964" i="2"/>
  <c r="L963" i="2"/>
  <c r="L962" i="2"/>
  <c r="L961" i="2"/>
  <c r="L960" i="2"/>
  <c r="L959" i="2"/>
  <c r="L958" i="2"/>
  <c r="L957" i="2"/>
  <c r="L956" i="2"/>
  <c r="L955" i="2"/>
  <c r="L954" i="2"/>
  <c r="L953" i="2"/>
  <c r="L952" i="2"/>
  <c r="L951" i="2"/>
  <c r="L950" i="2"/>
  <c r="L949" i="2"/>
  <c r="L948" i="2"/>
  <c r="L947" i="2"/>
  <c r="L946" i="2"/>
  <c r="L945" i="2"/>
  <c r="L944" i="2"/>
  <c r="L943" i="2"/>
  <c r="L942" i="2"/>
  <c r="L941" i="2"/>
  <c r="L940" i="2"/>
  <c r="L939" i="2"/>
  <c r="L938" i="2"/>
  <c r="L937" i="2"/>
  <c r="L936" i="2"/>
  <c r="L934" i="2"/>
  <c r="L932" i="2"/>
  <c r="L930" i="2"/>
  <c r="L928" i="2"/>
  <c r="L927" i="2"/>
  <c r="L923" i="2"/>
  <c r="L922" i="2"/>
  <c r="L921" i="2"/>
  <c r="L920" i="2"/>
  <c r="L919" i="2"/>
  <c r="L918" i="2"/>
  <c r="L917" i="2"/>
  <c r="L916" i="2"/>
  <c r="L915" i="2"/>
  <c r="L914" i="2"/>
  <c r="L913" i="2"/>
  <c r="L912" i="2"/>
  <c r="L911" i="2"/>
  <c r="L910" i="2"/>
  <c r="L909" i="2"/>
  <c r="L908" i="2"/>
  <c r="L907" i="2"/>
  <c r="L906" i="2"/>
  <c r="L905" i="2"/>
  <c r="L904" i="2"/>
  <c r="L903" i="2"/>
  <c r="L902" i="2"/>
  <c r="L901" i="2"/>
  <c r="L900" i="2"/>
  <c r="L899" i="2"/>
  <c r="L898" i="2"/>
  <c r="L897" i="2"/>
  <c r="L896" i="2"/>
  <c r="L895" i="2"/>
  <c r="L894" i="2"/>
  <c r="L892" i="2"/>
  <c r="L890" i="2"/>
  <c r="L888" i="2"/>
  <c r="L886" i="2"/>
  <c r="L885" i="2"/>
  <c r="L881" i="2"/>
  <c r="L880" i="2"/>
  <c r="L879" i="2"/>
  <c r="L878" i="2"/>
  <c r="L877" i="2"/>
  <c r="L876" i="2"/>
  <c r="L875" i="2"/>
  <c r="L874" i="2"/>
  <c r="L873" i="2"/>
  <c r="L872" i="2"/>
  <c r="L871" i="2"/>
  <c r="L870" i="2"/>
  <c r="L869" i="2"/>
  <c r="L868" i="2"/>
  <c r="L867" i="2"/>
  <c r="L866" i="2"/>
  <c r="L865" i="2"/>
  <c r="L864" i="2"/>
  <c r="L863" i="2"/>
  <c r="L862" i="2"/>
  <c r="L861" i="2"/>
  <c r="L860" i="2"/>
  <c r="L859" i="2"/>
  <c r="L858" i="2"/>
  <c r="L857" i="2"/>
  <c r="L856" i="2"/>
  <c r="L855" i="2"/>
  <c r="L854" i="2"/>
  <c r="L853" i="2"/>
  <c r="L852" i="2"/>
  <c r="L850" i="2"/>
  <c r="L848" i="2"/>
  <c r="L846" i="2"/>
  <c r="L844" i="2"/>
  <c r="L843" i="2"/>
  <c r="L839" i="2"/>
  <c r="L838" i="2"/>
  <c r="L837" i="2"/>
  <c r="L836" i="2"/>
  <c r="L835" i="2"/>
  <c r="L834" i="2"/>
  <c r="L833" i="2"/>
  <c r="L832" i="2"/>
  <c r="L831" i="2"/>
  <c r="L830" i="2"/>
  <c r="L829" i="2"/>
  <c r="L828" i="2"/>
  <c r="L827" i="2"/>
  <c r="L826" i="2"/>
  <c r="L825" i="2"/>
  <c r="L824" i="2"/>
  <c r="L823" i="2"/>
  <c r="L822" i="2"/>
  <c r="L821" i="2"/>
  <c r="L820" i="2"/>
  <c r="L819" i="2"/>
  <c r="L818" i="2"/>
  <c r="L817" i="2"/>
  <c r="L816" i="2"/>
  <c r="L815" i="2"/>
  <c r="L814" i="2"/>
  <c r="L813" i="2"/>
  <c r="L812" i="2"/>
  <c r="L811" i="2"/>
  <c r="L810" i="2"/>
  <c r="L808" i="2"/>
  <c r="L806" i="2"/>
  <c r="L804" i="2"/>
  <c r="L802" i="2"/>
  <c r="L801" i="2"/>
  <c r="L797" i="2"/>
  <c r="L796" i="2"/>
  <c r="L795" i="2"/>
  <c r="L794" i="2"/>
  <c r="L793" i="2"/>
  <c r="L792" i="2"/>
  <c r="L791" i="2"/>
  <c r="L790" i="2"/>
  <c r="L789" i="2"/>
  <c r="L788" i="2"/>
  <c r="L787" i="2"/>
  <c r="L786" i="2"/>
  <c r="L785" i="2"/>
  <c r="L784" i="2"/>
  <c r="L783" i="2"/>
  <c r="L782" i="2"/>
  <c r="L781" i="2"/>
  <c r="L780" i="2"/>
  <c r="L779" i="2"/>
  <c r="L778" i="2"/>
  <c r="L777" i="2"/>
  <c r="L776" i="2"/>
  <c r="L775" i="2"/>
  <c r="L774" i="2"/>
  <c r="L773" i="2"/>
  <c r="L772" i="2"/>
  <c r="L771" i="2"/>
  <c r="L770" i="2"/>
  <c r="L769" i="2"/>
  <c r="L768" i="2"/>
  <c r="L766" i="2"/>
  <c r="L764" i="2"/>
  <c r="L762" i="2"/>
  <c r="L760" i="2"/>
  <c r="L759" i="2"/>
  <c r="L755" i="2"/>
  <c r="L754" i="2"/>
  <c r="L753" i="2"/>
  <c r="L752" i="2"/>
  <c r="L751" i="2"/>
  <c r="L750" i="2"/>
  <c r="L749" i="2"/>
  <c r="L748" i="2"/>
  <c r="L747" i="2"/>
  <c r="L746" i="2"/>
  <c r="L745" i="2"/>
  <c r="L744" i="2"/>
  <c r="L743" i="2"/>
  <c r="L742" i="2"/>
  <c r="L741" i="2"/>
  <c r="L740" i="2"/>
  <c r="L739" i="2"/>
  <c r="L738" i="2"/>
  <c r="L737" i="2"/>
  <c r="L736" i="2"/>
  <c r="L735" i="2"/>
  <c r="L734" i="2"/>
  <c r="L733" i="2"/>
  <c r="L732" i="2"/>
  <c r="L731" i="2"/>
  <c r="L730" i="2"/>
  <c r="L729" i="2"/>
  <c r="L728" i="2"/>
  <c r="L727" i="2"/>
  <c r="L726" i="2"/>
  <c r="L724" i="2"/>
  <c r="L722" i="2"/>
  <c r="L720" i="2"/>
  <c r="L718" i="2"/>
  <c r="L717" i="2"/>
  <c r="L713" i="2"/>
  <c r="L712" i="2"/>
  <c r="L711" i="2"/>
  <c r="L710" i="2"/>
  <c r="L709" i="2"/>
  <c r="L708" i="2"/>
  <c r="L707" i="2"/>
  <c r="L706" i="2"/>
  <c r="L705" i="2"/>
  <c r="L704" i="2"/>
  <c r="L703" i="2"/>
  <c r="L702" i="2"/>
  <c r="L701" i="2"/>
  <c r="L700" i="2"/>
  <c r="L699" i="2"/>
  <c r="L698" i="2"/>
  <c r="L697" i="2"/>
  <c r="L696" i="2"/>
  <c r="L695" i="2"/>
  <c r="L694" i="2"/>
  <c r="L693" i="2"/>
  <c r="L692" i="2"/>
  <c r="L691" i="2"/>
  <c r="L690" i="2"/>
  <c r="L689" i="2"/>
  <c r="L688" i="2"/>
  <c r="L687" i="2"/>
  <c r="L686" i="2"/>
  <c r="L685" i="2"/>
  <c r="L684" i="2"/>
  <c r="L682" i="2"/>
  <c r="L680" i="2"/>
  <c r="L678" i="2"/>
  <c r="L676" i="2"/>
  <c r="L675" i="2"/>
  <c r="L671" i="2"/>
  <c r="L670" i="2"/>
  <c r="L669" i="2"/>
  <c r="L668" i="2"/>
  <c r="L667" i="2"/>
  <c r="L666" i="2"/>
  <c r="L665" i="2"/>
  <c r="L664" i="2"/>
  <c r="L663" i="2"/>
  <c r="L662" i="2"/>
  <c r="L661" i="2"/>
  <c r="L660" i="2"/>
  <c r="L659" i="2"/>
  <c r="L658" i="2"/>
  <c r="L657" i="2"/>
  <c r="L656" i="2"/>
  <c r="L655" i="2"/>
  <c r="L654" i="2"/>
  <c r="L653" i="2"/>
  <c r="L652" i="2"/>
  <c r="L651" i="2"/>
  <c r="L650" i="2"/>
  <c r="L649" i="2"/>
  <c r="L648" i="2"/>
  <c r="L647" i="2"/>
  <c r="L646" i="2"/>
  <c r="L645" i="2"/>
  <c r="L644" i="2"/>
  <c r="L643" i="2"/>
  <c r="L642" i="2"/>
  <c r="L640" i="2"/>
  <c r="L638" i="2"/>
  <c r="L636" i="2"/>
  <c r="L634" i="2"/>
  <c r="L633" i="2"/>
  <c r="L629" i="2"/>
  <c r="L628" i="2"/>
  <c r="L627" i="2"/>
  <c r="L626" i="2"/>
  <c r="L625" i="2"/>
  <c r="L624" i="2"/>
  <c r="L623" i="2"/>
  <c r="L622" i="2"/>
  <c r="L621" i="2"/>
  <c r="L620" i="2"/>
  <c r="L619" i="2"/>
  <c r="L618" i="2"/>
  <c r="L617" i="2"/>
  <c r="L616" i="2"/>
  <c r="L615" i="2"/>
  <c r="L614" i="2"/>
  <c r="L613" i="2"/>
  <c r="L612" i="2"/>
  <c r="L611" i="2"/>
  <c r="L610" i="2"/>
  <c r="L609" i="2"/>
  <c r="L608" i="2"/>
  <c r="L607" i="2"/>
  <c r="L606" i="2"/>
  <c r="L605" i="2"/>
  <c r="L604" i="2"/>
  <c r="L603" i="2"/>
  <c r="L602" i="2"/>
  <c r="L601" i="2"/>
  <c r="L600" i="2"/>
  <c r="L598" i="2"/>
  <c r="L596" i="2"/>
  <c r="L594" i="2"/>
  <c r="L592" i="2"/>
  <c r="L591" i="2"/>
  <c r="L545" i="2"/>
  <c r="L544" i="2"/>
  <c r="L543" i="2"/>
  <c r="L542" i="2"/>
  <c r="L541" i="2"/>
  <c r="L540" i="2"/>
  <c r="L539" i="2"/>
  <c r="L538" i="2"/>
  <c r="L537" i="2"/>
  <c r="L536" i="2"/>
  <c r="L535" i="2"/>
  <c r="L534" i="2"/>
  <c r="L533" i="2"/>
  <c r="L532" i="2"/>
  <c r="L531" i="2"/>
  <c r="L530" i="2"/>
  <c r="L529" i="2"/>
  <c r="L528" i="2"/>
  <c r="L527" i="2"/>
  <c r="L526" i="2"/>
  <c r="L525" i="2"/>
  <c r="L524" i="2"/>
  <c r="L523" i="2"/>
  <c r="L522" i="2"/>
  <c r="L521" i="2"/>
  <c r="L520" i="2"/>
  <c r="L519" i="2"/>
  <c r="L518" i="2"/>
  <c r="L517" i="2"/>
  <c r="L516" i="2"/>
  <c r="L514" i="2"/>
  <c r="L512" i="2"/>
  <c r="L510" i="2"/>
  <c r="L508" i="2"/>
  <c r="L507" i="2"/>
  <c r="L503" i="2"/>
  <c r="L502" i="2"/>
  <c r="L501" i="2"/>
  <c r="L500" i="2"/>
  <c r="L499" i="2"/>
  <c r="L498" i="2"/>
  <c r="L497" i="2"/>
  <c r="L496" i="2"/>
  <c r="L495" i="2"/>
  <c r="L494" i="2"/>
  <c r="L493" i="2"/>
  <c r="L492" i="2"/>
  <c r="L491" i="2"/>
  <c r="L490" i="2"/>
  <c r="L489" i="2"/>
  <c r="L488" i="2"/>
  <c r="L487" i="2"/>
  <c r="L486" i="2"/>
  <c r="L485" i="2"/>
  <c r="L484" i="2"/>
  <c r="L483" i="2"/>
  <c r="L482" i="2"/>
  <c r="L481" i="2"/>
  <c r="L480" i="2"/>
  <c r="L479" i="2"/>
  <c r="L478" i="2"/>
  <c r="L477" i="2"/>
  <c r="L476" i="2"/>
  <c r="L475" i="2"/>
  <c r="L474" i="2"/>
  <c r="L472" i="2"/>
  <c r="L470" i="2"/>
  <c r="L468" i="2"/>
  <c r="L466" i="2"/>
  <c r="L465" i="2"/>
  <c r="L461" i="2"/>
  <c r="L460" i="2"/>
  <c r="L459" i="2"/>
  <c r="L458" i="2"/>
  <c r="L457" i="2"/>
  <c r="L456" i="2"/>
  <c r="L455" i="2"/>
  <c r="L454" i="2"/>
  <c r="L453" i="2"/>
  <c r="L452" i="2"/>
  <c r="L451" i="2"/>
  <c r="L450" i="2"/>
  <c r="L449" i="2"/>
  <c r="L448" i="2"/>
  <c r="L447" i="2"/>
  <c r="L446" i="2"/>
  <c r="L445" i="2"/>
  <c r="L444" i="2"/>
  <c r="L443" i="2"/>
  <c r="L442" i="2"/>
  <c r="L441" i="2"/>
  <c r="L440" i="2"/>
  <c r="L439" i="2"/>
  <c r="L438" i="2"/>
  <c r="L437" i="2"/>
  <c r="L436" i="2"/>
  <c r="L435" i="2"/>
  <c r="L434" i="2"/>
  <c r="L433" i="2"/>
  <c r="L432" i="2"/>
  <c r="L430" i="2"/>
  <c r="L428" i="2"/>
  <c r="L426" i="2"/>
  <c r="L424" i="2"/>
  <c r="L423" i="2"/>
  <c r="L419" i="2"/>
  <c r="L418" i="2"/>
  <c r="L417" i="2"/>
  <c r="L416" i="2"/>
  <c r="L415" i="2"/>
  <c r="L414" i="2"/>
  <c r="L413" i="2"/>
  <c r="L412" i="2"/>
  <c r="L411" i="2"/>
  <c r="L410" i="2"/>
  <c r="L409" i="2"/>
  <c r="L408" i="2"/>
  <c r="L407" i="2"/>
  <c r="L406" i="2"/>
  <c r="L405" i="2"/>
  <c r="L404" i="2"/>
  <c r="L403" i="2"/>
  <c r="L402" i="2"/>
  <c r="L401" i="2"/>
  <c r="L400" i="2"/>
  <c r="L399" i="2"/>
  <c r="L398" i="2"/>
  <c r="L397" i="2"/>
  <c r="L396" i="2"/>
  <c r="L395" i="2"/>
  <c r="L394" i="2"/>
  <c r="L393" i="2"/>
  <c r="L392" i="2"/>
  <c r="L391" i="2"/>
  <c r="L390" i="2"/>
  <c r="L388" i="2"/>
  <c r="L386" i="2"/>
  <c r="L384" i="2"/>
  <c r="L382" i="2"/>
  <c r="L381" i="2"/>
  <c r="L377" i="2"/>
  <c r="L376" i="2"/>
  <c r="L375" i="2"/>
  <c r="L374" i="2"/>
  <c r="L373" i="2"/>
  <c r="L372" i="2"/>
  <c r="L371" i="2"/>
  <c r="L370" i="2"/>
  <c r="L369" i="2"/>
  <c r="L368" i="2"/>
  <c r="L367" i="2"/>
  <c r="L366" i="2"/>
  <c r="L365" i="2"/>
  <c r="L364" i="2"/>
  <c r="L363" i="2"/>
  <c r="L362" i="2"/>
  <c r="L361" i="2"/>
  <c r="L360" i="2"/>
  <c r="L359" i="2"/>
  <c r="L358" i="2"/>
  <c r="L357" i="2"/>
  <c r="L356" i="2"/>
  <c r="L355" i="2"/>
  <c r="L354" i="2"/>
  <c r="L353" i="2"/>
  <c r="L352" i="2"/>
  <c r="L351" i="2"/>
  <c r="L350" i="2"/>
  <c r="L349" i="2"/>
  <c r="L348" i="2"/>
  <c r="L346" i="2"/>
  <c r="L344" i="2"/>
  <c r="L342" i="2"/>
  <c r="L340" i="2"/>
  <c r="L339" i="2"/>
  <c r="L335" i="2"/>
  <c r="L334" i="2"/>
  <c r="L333" i="2"/>
  <c r="L332" i="2"/>
  <c r="L331" i="2"/>
  <c r="L330" i="2"/>
  <c r="L329" i="2"/>
  <c r="L328" i="2"/>
  <c r="L327" i="2"/>
  <c r="L326" i="2"/>
  <c r="L325" i="2"/>
  <c r="L324" i="2"/>
  <c r="L323" i="2"/>
  <c r="L322" i="2"/>
  <c r="L321" i="2"/>
  <c r="L320" i="2"/>
  <c r="L319" i="2"/>
  <c r="L318" i="2"/>
  <c r="L317" i="2"/>
  <c r="L316" i="2"/>
  <c r="L315" i="2"/>
  <c r="L314" i="2"/>
  <c r="L313" i="2"/>
  <c r="L312" i="2"/>
  <c r="L311" i="2"/>
  <c r="L310" i="2"/>
  <c r="L309" i="2"/>
  <c r="L308" i="2"/>
  <c r="L307" i="2"/>
  <c r="L306" i="2"/>
  <c r="L304" i="2"/>
  <c r="L302" i="2"/>
  <c r="L300" i="2"/>
  <c r="L298" i="2"/>
  <c r="L297" i="2"/>
  <c r="L293" i="2"/>
  <c r="L292" i="2"/>
  <c r="L291" i="2"/>
  <c r="L290" i="2"/>
  <c r="L289" i="2"/>
  <c r="L288" i="2"/>
  <c r="L287" i="2"/>
  <c r="L286" i="2"/>
  <c r="L285" i="2"/>
  <c r="L284" i="2"/>
  <c r="L283" i="2"/>
  <c r="L282" i="2"/>
  <c r="L281" i="2"/>
  <c r="L280" i="2"/>
  <c r="L279" i="2"/>
  <c r="L278" i="2"/>
  <c r="L277" i="2"/>
  <c r="L276" i="2"/>
  <c r="L275" i="2"/>
  <c r="L274" i="2"/>
  <c r="L273" i="2"/>
  <c r="L272" i="2"/>
  <c r="L271" i="2"/>
  <c r="L270" i="2"/>
  <c r="L269" i="2"/>
  <c r="L268" i="2"/>
  <c r="L267" i="2"/>
  <c r="L266" i="2"/>
  <c r="L265" i="2"/>
  <c r="L264" i="2"/>
  <c r="L262" i="2"/>
  <c r="L260" i="2"/>
  <c r="L258" i="2"/>
  <c r="L256" i="2"/>
  <c r="L255" i="2"/>
  <c r="L251" i="2"/>
  <c r="L250" i="2"/>
  <c r="L249" i="2"/>
  <c r="L248" i="2"/>
  <c r="L247" i="2"/>
  <c r="L246" i="2"/>
  <c r="L245" i="2"/>
  <c r="L244" i="2"/>
  <c r="L243" i="2"/>
  <c r="L242" i="2"/>
  <c r="L241" i="2"/>
  <c r="L240" i="2"/>
  <c r="L239" i="2"/>
  <c r="L238" i="2"/>
  <c r="L237" i="2"/>
  <c r="L236" i="2"/>
  <c r="L235" i="2"/>
  <c r="L234" i="2"/>
  <c r="L233" i="2"/>
  <c r="L232" i="2"/>
  <c r="L231" i="2"/>
  <c r="L230" i="2"/>
  <c r="L229" i="2"/>
  <c r="L228" i="2"/>
  <c r="L227" i="2"/>
  <c r="L226" i="2"/>
  <c r="L225" i="2"/>
  <c r="L224" i="2"/>
  <c r="L223" i="2"/>
  <c r="L222" i="2"/>
  <c r="L220" i="2"/>
  <c r="L218" i="2"/>
  <c r="L216" i="2"/>
  <c r="L214" i="2"/>
  <c r="L213" i="2"/>
  <c r="L209" i="2"/>
  <c r="L208" i="2"/>
  <c r="L207" i="2"/>
  <c r="L206" i="2"/>
  <c r="L205" i="2"/>
  <c r="L204" i="2"/>
  <c r="L203" i="2"/>
  <c r="L202" i="2"/>
  <c r="L201" i="2"/>
  <c r="L200" i="2"/>
  <c r="L199" i="2"/>
  <c r="L198" i="2"/>
  <c r="L197" i="2"/>
  <c r="L196" i="2"/>
  <c r="L195" i="2"/>
  <c r="L194" i="2"/>
  <c r="L193" i="2"/>
  <c r="L192" i="2"/>
  <c r="L191" i="2"/>
  <c r="L190" i="2"/>
  <c r="L189" i="2"/>
  <c r="L188" i="2"/>
  <c r="L187" i="2"/>
  <c r="L186" i="2"/>
  <c r="L185" i="2"/>
  <c r="L184" i="2"/>
  <c r="L183" i="2"/>
  <c r="L182" i="2"/>
  <c r="L181" i="2"/>
  <c r="L180" i="2"/>
  <c r="L178" i="2"/>
  <c r="L176" i="2"/>
  <c r="L174" i="2"/>
  <c r="L172" i="2"/>
  <c r="L171" i="2"/>
  <c r="L167" i="2"/>
  <c r="L166" i="2"/>
  <c r="L165" i="2"/>
  <c r="L164" i="2"/>
  <c r="L163" i="2"/>
  <c r="L162" i="2"/>
  <c r="L161" i="2"/>
  <c r="L160" i="2"/>
  <c r="L159" i="2"/>
  <c r="L158" i="2"/>
  <c r="L157" i="2"/>
  <c r="L156" i="2"/>
  <c r="L155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6" i="2"/>
  <c r="L134" i="2"/>
  <c r="L132" i="2"/>
  <c r="L130" i="2"/>
  <c r="L129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4" i="2"/>
  <c r="L92" i="2"/>
  <c r="L90" i="2"/>
  <c r="L88" i="2"/>
  <c r="L87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2" i="2"/>
  <c r="L50" i="2"/>
  <c r="L48" i="2"/>
  <c r="L46" i="2"/>
  <c r="L45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0" i="2"/>
  <c r="L8" i="2"/>
  <c r="L6" i="2"/>
  <c r="L4" i="2"/>
  <c r="L3" i="2"/>
  <c r="K1385" i="2"/>
  <c r="K1384" i="2"/>
  <c r="K1383" i="2"/>
  <c r="K1382" i="2"/>
  <c r="K1381" i="2"/>
  <c r="K1380" i="2"/>
  <c r="K1379" i="2"/>
  <c r="K1378" i="2"/>
  <c r="K1377" i="2"/>
  <c r="K1376" i="2"/>
  <c r="K1375" i="2"/>
  <c r="K1374" i="2"/>
  <c r="K1373" i="2"/>
  <c r="K1372" i="2"/>
  <c r="K1371" i="2"/>
  <c r="K1370" i="2"/>
  <c r="K1369" i="2"/>
  <c r="K1368" i="2"/>
  <c r="K1367" i="2"/>
  <c r="K1366" i="2"/>
  <c r="K1365" i="2"/>
  <c r="K1364" i="2"/>
  <c r="K1363" i="2"/>
  <c r="K1362" i="2"/>
  <c r="K1361" i="2"/>
  <c r="K1360" i="2"/>
  <c r="K1359" i="2"/>
  <c r="K1358" i="2"/>
  <c r="K1357" i="2"/>
  <c r="K1356" i="2"/>
  <c r="K1354" i="2"/>
  <c r="K1352" i="2"/>
  <c r="K1350" i="2"/>
  <c r="K1348" i="2"/>
  <c r="K1347" i="2"/>
  <c r="K1343" i="2"/>
  <c r="K1342" i="2"/>
  <c r="K1341" i="2"/>
  <c r="K1340" i="2"/>
  <c r="K1339" i="2"/>
  <c r="K1338" i="2"/>
  <c r="K1337" i="2"/>
  <c r="K1336" i="2"/>
  <c r="K1335" i="2"/>
  <c r="K1334" i="2"/>
  <c r="K1333" i="2"/>
  <c r="K1332" i="2"/>
  <c r="K1331" i="2"/>
  <c r="K1330" i="2"/>
  <c r="K1329" i="2"/>
  <c r="K1328" i="2"/>
  <c r="K1327" i="2"/>
  <c r="K1326" i="2"/>
  <c r="K1325" i="2"/>
  <c r="K1324" i="2"/>
  <c r="K1323" i="2"/>
  <c r="K1322" i="2"/>
  <c r="K1321" i="2"/>
  <c r="K1320" i="2"/>
  <c r="K1319" i="2"/>
  <c r="K1318" i="2"/>
  <c r="K1317" i="2"/>
  <c r="K1316" i="2"/>
  <c r="K1315" i="2"/>
  <c r="K1314" i="2"/>
  <c r="K1312" i="2"/>
  <c r="K1310" i="2"/>
  <c r="K1308" i="2"/>
  <c r="K1306" i="2"/>
  <c r="K1305" i="2"/>
  <c r="K1301" i="2"/>
  <c r="K1300" i="2"/>
  <c r="K1299" i="2"/>
  <c r="K1298" i="2"/>
  <c r="K1297" i="2"/>
  <c r="K1296" i="2"/>
  <c r="K1295" i="2"/>
  <c r="K1294" i="2"/>
  <c r="K1293" i="2"/>
  <c r="K1292" i="2"/>
  <c r="K1291" i="2"/>
  <c r="K1290" i="2"/>
  <c r="K1289" i="2"/>
  <c r="K1288" i="2"/>
  <c r="K1287" i="2"/>
  <c r="K1286" i="2"/>
  <c r="K1285" i="2"/>
  <c r="K1284" i="2"/>
  <c r="K1283" i="2"/>
  <c r="K1282" i="2"/>
  <c r="K1281" i="2"/>
  <c r="K1280" i="2"/>
  <c r="K1279" i="2"/>
  <c r="K1278" i="2"/>
  <c r="K1277" i="2"/>
  <c r="K1276" i="2"/>
  <c r="K1275" i="2"/>
  <c r="K1274" i="2"/>
  <c r="K1273" i="2"/>
  <c r="K1272" i="2"/>
  <c r="K1270" i="2"/>
  <c r="K1268" i="2"/>
  <c r="K1266" i="2"/>
  <c r="K1264" i="2"/>
  <c r="K1263" i="2"/>
  <c r="K1259" i="2"/>
  <c r="K1258" i="2"/>
  <c r="K1257" i="2"/>
  <c r="K1256" i="2"/>
  <c r="K1255" i="2"/>
  <c r="K1254" i="2"/>
  <c r="K1253" i="2"/>
  <c r="K1252" i="2"/>
  <c r="K1251" i="2"/>
  <c r="K1250" i="2"/>
  <c r="K1249" i="2"/>
  <c r="K1248" i="2"/>
  <c r="K1247" i="2"/>
  <c r="K1246" i="2"/>
  <c r="K1245" i="2"/>
  <c r="K1244" i="2"/>
  <c r="K1243" i="2"/>
  <c r="K1242" i="2"/>
  <c r="K1241" i="2"/>
  <c r="K1240" i="2"/>
  <c r="K1239" i="2"/>
  <c r="K1238" i="2"/>
  <c r="K1237" i="2"/>
  <c r="K1236" i="2"/>
  <c r="K1235" i="2"/>
  <c r="K1234" i="2"/>
  <c r="K1233" i="2"/>
  <c r="K1232" i="2"/>
  <c r="K1231" i="2"/>
  <c r="K1230" i="2"/>
  <c r="K1228" i="2"/>
  <c r="K1226" i="2"/>
  <c r="K1224" i="2"/>
  <c r="K1222" i="2"/>
  <c r="K1221" i="2"/>
  <c r="K1217" i="2"/>
  <c r="K1216" i="2"/>
  <c r="K1215" i="2"/>
  <c r="K1214" i="2"/>
  <c r="K1213" i="2"/>
  <c r="K1212" i="2"/>
  <c r="K1211" i="2"/>
  <c r="K1210" i="2"/>
  <c r="K1209" i="2"/>
  <c r="K1208" i="2"/>
  <c r="K1207" i="2"/>
  <c r="K1206" i="2"/>
  <c r="K1205" i="2"/>
  <c r="K1204" i="2"/>
  <c r="K1203" i="2"/>
  <c r="K1202" i="2"/>
  <c r="K1201" i="2"/>
  <c r="K1200" i="2"/>
  <c r="K1199" i="2"/>
  <c r="K1198" i="2"/>
  <c r="K1197" i="2"/>
  <c r="K1196" i="2"/>
  <c r="K1195" i="2"/>
  <c r="K1194" i="2"/>
  <c r="K1193" i="2"/>
  <c r="K1192" i="2"/>
  <c r="K1191" i="2"/>
  <c r="K1190" i="2"/>
  <c r="K1189" i="2"/>
  <c r="K1188" i="2"/>
  <c r="K1186" i="2"/>
  <c r="K1184" i="2"/>
  <c r="K1182" i="2"/>
  <c r="K1180" i="2"/>
  <c r="K1179" i="2"/>
  <c r="K1175" i="2"/>
  <c r="K1174" i="2"/>
  <c r="K1173" i="2"/>
  <c r="K1172" i="2"/>
  <c r="K1171" i="2"/>
  <c r="K1170" i="2"/>
  <c r="K1169" i="2"/>
  <c r="K1168" i="2"/>
  <c r="K1167" i="2"/>
  <c r="K1166" i="2"/>
  <c r="K1165" i="2"/>
  <c r="K1164" i="2"/>
  <c r="K1163" i="2"/>
  <c r="K1162" i="2"/>
  <c r="K1161" i="2"/>
  <c r="K1160" i="2"/>
  <c r="K1159" i="2"/>
  <c r="K1158" i="2"/>
  <c r="K1157" i="2"/>
  <c r="K1156" i="2"/>
  <c r="K1155" i="2"/>
  <c r="K1154" i="2"/>
  <c r="K1153" i="2"/>
  <c r="K1152" i="2"/>
  <c r="K1151" i="2"/>
  <c r="K1150" i="2"/>
  <c r="K1149" i="2"/>
  <c r="K1148" i="2"/>
  <c r="K1147" i="2"/>
  <c r="K1146" i="2"/>
  <c r="K1144" i="2"/>
  <c r="K1142" i="2"/>
  <c r="K1140" i="2"/>
  <c r="K1138" i="2"/>
  <c r="K1137" i="2"/>
  <c r="K1133" i="2"/>
  <c r="K1132" i="2"/>
  <c r="K1131" i="2"/>
  <c r="K1130" i="2"/>
  <c r="K1129" i="2"/>
  <c r="K1128" i="2"/>
  <c r="K1127" i="2"/>
  <c r="K1126" i="2"/>
  <c r="K1125" i="2"/>
  <c r="K1124" i="2"/>
  <c r="K1123" i="2"/>
  <c r="K1122" i="2"/>
  <c r="K1121" i="2"/>
  <c r="K1120" i="2"/>
  <c r="K1119" i="2"/>
  <c r="K1118" i="2"/>
  <c r="K1117" i="2"/>
  <c r="K1116" i="2"/>
  <c r="K1115" i="2"/>
  <c r="K1114" i="2"/>
  <c r="K1113" i="2"/>
  <c r="K1112" i="2"/>
  <c r="K1111" i="2"/>
  <c r="K1110" i="2"/>
  <c r="K1109" i="2"/>
  <c r="K1108" i="2"/>
  <c r="K1107" i="2"/>
  <c r="K1106" i="2"/>
  <c r="K1105" i="2"/>
  <c r="K1104" i="2"/>
  <c r="K1102" i="2"/>
  <c r="K1100" i="2"/>
  <c r="K1098" i="2"/>
  <c r="K1096" i="2"/>
  <c r="K1095" i="2"/>
  <c r="K1091" i="2"/>
  <c r="K1090" i="2"/>
  <c r="K1089" i="2"/>
  <c r="K1088" i="2"/>
  <c r="K1087" i="2"/>
  <c r="K1086" i="2"/>
  <c r="K1085" i="2"/>
  <c r="K1084" i="2"/>
  <c r="K1083" i="2"/>
  <c r="K1082" i="2"/>
  <c r="K1081" i="2"/>
  <c r="K1080" i="2"/>
  <c r="K1079" i="2"/>
  <c r="K1078" i="2"/>
  <c r="K1077" i="2"/>
  <c r="K1076" i="2"/>
  <c r="K1075" i="2"/>
  <c r="K1074" i="2"/>
  <c r="K1073" i="2"/>
  <c r="K1072" i="2"/>
  <c r="K1071" i="2"/>
  <c r="K1070" i="2"/>
  <c r="K1069" i="2"/>
  <c r="K1068" i="2"/>
  <c r="K1067" i="2"/>
  <c r="K1066" i="2"/>
  <c r="K1065" i="2"/>
  <c r="K1064" i="2"/>
  <c r="K1063" i="2"/>
  <c r="K1062" i="2"/>
  <c r="K1060" i="2"/>
  <c r="K1058" i="2"/>
  <c r="K1056" i="2"/>
  <c r="K1054" i="2"/>
  <c r="K1053" i="2"/>
  <c r="K1049" i="2"/>
  <c r="K1048" i="2"/>
  <c r="K1047" i="2"/>
  <c r="K1046" i="2"/>
  <c r="K1045" i="2"/>
  <c r="K1044" i="2"/>
  <c r="K1043" i="2"/>
  <c r="K1042" i="2"/>
  <c r="K1041" i="2"/>
  <c r="K1040" i="2"/>
  <c r="K1039" i="2"/>
  <c r="K1038" i="2"/>
  <c r="K1037" i="2"/>
  <c r="K1036" i="2"/>
  <c r="K1035" i="2"/>
  <c r="K1034" i="2"/>
  <c r="K1033" i="2"/>
  <c r="K1032" i="2"/>
  <c r="K1031" i="2"/>
  <c r="K1030" i="2"/>
  <c r="K1029" i="2"/>
  <c r="K1028" i="2"/>
  <c r="K1027" i="2"/>
  <c r="K1026" i="2"/>
  <c r="K1025" i="2"/>
  <c r="K1024" i="2"/>
  <c r="K1023" i="2"/>
  <c r="K1022" i="2"/>
  <c r="K1021" i="2"/>
  <c r="K1020" i="2"/>
  <c r="K1018" i="2"/>
  <c r="K1016" i="2"/>
  <c r="K1014" i="2"/>
  <c r="K1012" i="2"/>
  <c r="K1011" i="2"/>
  <c r="K1007" i="2"/>
  <c r="K1006" i="2"/>
  <c r="K1005" i="2"/>
  <c r="K1004" i="2"/>
  <c r="K1003" i="2"/>
  <c r="K1002" i="2"/>
  <c r="K1001" i="2"/>
  <c r="K1000" i="2"/>
  <c r="K999" i="2"/>
  <c r="K998" i="2"/>
  <c r="K997" i="2"/>
  <c r="K996" i="2"/>
  <c r="K995" i="2"/>
  <c r="K994" i="2"/>
  <c r="K993" i="2"/>
  <c r="K992" i="2"/>
  <c r="K991" i="2"/>
  <c r="K990" i="2"/>
  <c r="K989" i="2"/>
  <c r="K988" i="2"/>
  <c r="K987" i="2"/>
  <c r="K986" i="2"/>
  <c r="K985" i="2"/>
  <c r="K984" i="2"/>
  <c r="K983" i="2"/>
  <c r="K982" i="2"/>
  <c r="K981" i="2"/>
  <c r="K980" i="2"/>
  <c r="K979" i="2"/>
  <c r="K978" i="2"/>
  <c r="K976" i="2"/>
  <c r="K974" i="2"/>
  <c r="K972" i="2"/>
  <c r="K970" i="2"/>
  <c r="K969" i="2"/>
  <c r="K965" i="2"/>
  <c r="K964" i="2"/>
  <c r="K963" i="2"/>
  <c r="K962" i="2"/>
  <c r="K961" i="2"/>
  <c r="K960" i="2"/>
  <c r="K959" i="2"/>
  <c r="K958" i="2"/>
  <c r="K957" i="2"/>
  <c r="K956" i="2"/>
  <c r="K955" i="2"/>
  <c r="K954" i="2"/>
  <c r="K953" i="2"/>
  <c r="K952" i="2"/>
  <c r="K951" i="2"/>
  <c r="K950" i="2"/>
  <c r="K949" i="2"/>
  <c r="K948" i="2"/>
  <c r="K947" i="2"/>
  <c r="K946" i="2"/>
  <c r="K945" i="2"/>
  <c r="K944" i="2"/>
  <c r="K943" i="2"/>
  <c r="K942" i="2"/>
  <c r="K941" i="2"/>
  <c r="K940" i="2"/>
  <c r="K939" i="2"/>
  <c r="K938" i="2"/>
  <c r="K937" i="2"/>
  <c r="K936" i="2"/>
  <c r="K934" i="2"/>
  <c r="K932" i="2"/>
  <c r="K930" i="2"/>
  <c r="K928" i="2"/>
  <c r="K927" i="2"/>
  <c r="K923" i="2"/>
  <c r="K922" i="2"/>
  <c r="K921" i="2"/>
  <c r="K920" i="2"/>
  <c r="K919" i="2"/>
  <c r="K918" i="2"/>
  <c r="K917" i="2"/>
  <c r="K916" i="2"/>
  <c r="K915" i="2"/>
  <c r="K914" i="2"/>
  <c r="K913" i="2"/>
  <c r="K912" i="2"/>
  <c r="K911" i="2"/>
  <c r="K910" i="2"/>
  <c r="K909" i="2"/>
  <c r="K908" i="2"/>
  <c r="K907" i="2"/>
  <c r="K906" i="2"/>
  <c r="K905" i="2"/>
  <c r="K904" i="2"/>
  <c r="K903" i="2"/>
  <c r="K902" i="2"/>
  <c r="K901" i="2"/>
  <c r="K900" i="2"/>
  <c r="K899" i="2"/>
  <c r="K898" i="2"/>
  <c r="K897" i="2"/>
  <c r="K896" i="2"/>
  <c r="K895" i="2"/>
  <c r="K894" i="2"/>
  <c r="K892" i="2"/>
  <c r="K890" i="2"/>
  <c r="K888" i="2"/>
  <c r="K886" i="2"/>
  <c r="K885" i="2"/>
  <c r="K881" i="2"/>
  <c r="K880" i="2"/>
  <c r="K879" i="2"/>
  <c r="K878" i="2"/>
  <c r="K877" i="2"/>
  <c r="K876" i="2"/>
  <c r="K875" i="2"/>
  <c r="K874" i="2"/>
  <c r="K873" i="2"/>
  <c r="K872" i="2"/>
  <c r="K871" i="2"/>
  <c r="K870" i="2"/>
  <c r="K869" i="2"/>
  <c r="K868" i="2"/>
  <c r="K867" i="2"/>
  <c r="K866" i="2"/>
  <c r="K865" i="2"/>
  <c r="K864" i="2"/>
  <c r="K863" i="2"/>
  <c r="K862" i="2"/>
  <c r="K861" i="2"/>
  <c r="K860" i="2"/>
  <c r="K859" i="2"/>
  <c r="K858" i="2"/>
  <c r="K857" i="2"/>
  <c r="K856" i="2"/>
  <c r="K855" i="2"/>
  <c r="K854" i="2"/>
  <c r="K853" i="2"/>
  <c r="K852" i="2"/>
  <c r="K850" i="2"/>
  <c r="K848" i="2"/>
  <c r="K846" i="2"/>
  <c r="K844" i="2"/>
  <c r="K843" i="2"/>
  <c r="K839" i="2"/>
  <c r="K838" i="2"/>
  <c r="K837" i="2"/>
  <c r="K836" i="2"/>
  <c r="K835" i="2"/>
  <c r="K834" i="2"/>
  <c r="K833" i="2"/>
  <c r="K832" i="2"/>
  <c r="K831" i="2"/>
  <c r="K830" i="2"/>
  <c r="K829" i="2"/>
  <c r="K828" i="2"/>
  <c r="K827" i="2"/>
  <c r="K826" i="2"/>
  <c r="K825" i="2"/>
  <c r="K824" i="2"/>
  <c r="K823" i="2"/>
  <c r="K822" i="2"/>
  <c r="K821" i="2"/>
  <c r="K820" i="2"/>
  <c r="K819" i="2"/>
  <c r="K818" i="2"/>
  <c r="K817" i="2"/>
  <c r="K816" i="2"/>
  <c r="K815" i="2"/>
  <c r="K814" i="2"/>
  <c r="K813" i="2"/>
  <c r="K812" i="2"/>
  <c r="K811" i="2"/>
  <c r="K810" i="2"/>
  <c r="K808" i="2"/>
  <c r="K806" i="2"/>
  <c r="K804" i="2"/>
  <c r="K802" i="2"/>
  <c r="K801" i="2"/>
  <c r="K797" i="2"/>
  <c r="K796" i="2"/>
  <c r="K795" i="2"/>
  <c r="K794" i="2"/>
  <c r="K793" i="2"/>
  <c r="K792" i="2"/>
  <c r="K791" i="2"/>
  <c r="K790" i="2"/>
  <c r="K789" i="2"/>
  <c r="K788" i="2"/>
  <c r="K787" i="2"/>
  <c r="K786" i="2"/>
  <c r="K785" i="2"/>
  <c r="K784" i="2"/>
  <c r="K783" i="2"/>
  <c r="K782" i="2"/>
  <c r="K781" i="2"/>
  <c r="K780" i="2"/>
  <c r="K779" i="2"/>
  <c r="K778" i="2"/>
  <c r="K777" i="2"/>
  <c r="K776" i="2"/>
  <c r="K775" i="2"/>
  <c r="K774" i="2"/>
  <c r="K773" i="2"/>
  <c r="K772" i="2"/>
  <c r="K771" i="2"/>
  <c r="K770" i="2"/>
  <c r="K769" i="2"/>
  <c r="K768" i="2"/>
  <c r="K766" i="2"/>
  <c r="K764" i="2"/>
  <c r="K762" i="2"/>
  <c r="K760" i="2"/>
  <c r="K759" i="2"/>
  <c r="K755" i="2"/>
  <c r="K754" i="2"/>
  <c r="K753" i="2"/>
  <c r="K752" i="2"/>
  <c r="K751" i="2"/>
  <c r="K750" i="2"/>
  <c r="K749" i="2"/>
  <c r="K748" i="2"/>
  <c r="K747" i="2"/>
  <c r="K746" i="2"/>
  <c r="K745" i="2"/>
  <c r="K744" i="2"/>
  <c r="K743" i="2"/>
  <c r="K742" i="2"/>
  <c r="K741" i="2"/>
  <c r="K740" i="2"/>
  <c r="K739" i="2"/>
  <c r="K738" i="2"/>
  <c r="K737" i="2"/>
  <c r="K736" i="2"/>
  <c r="K735" i="2"/>
  <c r="K734" i="2"/>
  <c r="K733" i="2"/>
  <c r="K732" i="2"/>
  <c r="K731" i="2"/>
  <c r="K730" i="2"/>
  <c r="K729" i="2"/>
  <c r="K728" i="2"/>
  <c r="K727" i="2"/>
  <c r="K726" i="2"/>
  <c r="K724" i="2"/>
  <c r="K722" i="2"/>
  <c r="K720" i="2"/>
  <c r="K718" i="2"/>
  <c r="K717" i="2"/>
  <c r="K713" i="2"/>
  <c r="K712" i="2"/>
  <c r="K711" i="2"/>
  <c r="K710" i="2"/>
  <c r="K709" i="2"/>
  <c r="K708" i="2"/>
  <c r="K707" i="2"/>
  <c r="K706" i="2"/>
  <c r="K705" i="2"/>
  <c r="K704" i="2"/>
  <c r="K703" i="2"/>
  <c r="K702" i="2"/>
  <c r="K701" i="2"/>
  <c r="K700" i="2"/>
  <c r="K699" i="2"/>
  <c r="K698" i="2"/>
  <c r="K697" i="2"/>
  <c r="K696" i="2"/>
  <c r="K695" i="2"/>
  <c r="K694" i="2"/>
  <c r="K693" i="2"/>
  <c r="K692" i="2"/>
  <c r="K691" i="2"/>
  <c r="K690" i="2"/>
  <c r="K689" i="2"/>
  <c r="K688" i="2"/>
  <c r="K687" i="2"/>
  <c r="K686" i="2"/>
  <c r="K685" i="2"/>
  <c r="K684" i="2"/>
  <c r="K682" i="2"/>
  <c r="K680" i="2"/>
  <c r="K678" i="2"/>
  <c r="K676" i="2"/>
  <c r="K675" i="2"/>
  <c r="K671" i="2"/>
  <c r="K670" i="2"/>
  <c r="K669" i="2"/>
  <c r="K668" i="2"/>
  <c r="K667" i="2"/>
  <c r="K666" i="2"/>
  <c r="K665" i="2"/>
  <c r="K664" i="2"/>
  <c r="K663" i="2"/>
  <c r="K662" i="2"/>
  <c r="K661" i="2"/>
  <c r="K660" i="2"/>
  <c r="K659" i="2"/>
  <c r="K658" i="2"/>
  <c r="K657" i="2"/>
  <c r="K656" i="2"/>
  <c r="K655" i="2"/>
  <c r="K654" i="2"/>
  <c r="K653" i="2"/>
  <c r="K652" i="2"/>
  <c r="K651" i="2"/>
  <c r="K650" i="2"/>
  <c r="K649" i="2"/>
  <c r="K648" i="2"/>
  <c r="K647" i="2"/>
  <c r="K646" i="2"/>
  <c r="K645" i="2"/>
  <c r="K644" i="2"/>
  <c r="K643" i="2"/>
  <c r="K642" i="2"/>
  <c r="K640" i="2"/>
  <c r="K638" i="2"/>
  <c r="K636" i="2"/>
  <c r="K634" i="2"/>
  <c r="K633" i="2"/>
  <c r="K629" i="2"/>
  <c r="K628" i="2"/>
  <c r="K627" i="2"/>
  <c r="K626" i="2"/>
  <c r="K625" i="2"/>
  <c r="K624" i="2"/>
  <c r="K623" i="2"/>
  <c r="K622" i="2"/>
  <c r="K621" i="2"/>
  <c r="K620" i="2"/>
  <c r="K619" i="2"/>
  <c r="K618" i="2"/>
  <c r="K617" i="2"/>
  <c r="K616" i="2"/>
  <c r="K615" i="2"/>
  <c r="K614" i="2"/>
  <c r="K613" i="2"/>
  <c r="K612" i="2"/>
  <c r="K611" i="2"/>
  <c r="K610" i="2"/>
  <c r="K609" i="2"/>
  <c r="K608" i="2"/>
  <c r="K607" i="2"/>
  <c r="K606" i="2"/>
  <c r="K605" i="2"/>
  <c r="K604" i="2"/>
  <c r="K603" i="2"/>
  <c r="K602" i="2"/>
  <c r="K601" i="2"/>
  <c r="K600" i="2"/>
  <c r="K598" i="2"/>
  <c r="K596" i="2"/>
  <c r="K594" i="2"/>
  <c r="K592" i="2"/>
  <c r="K591" i="2"/>
  <c r="K545" i="2"/>
  <c r="K544" i="2"/>
  <c r="K543" i="2"/>
  <c r="K542" i="2"/>
  <c r="K541" i="2"/>
  <c r="K540" i="2"/>
  <c r="K539" i="2"/>
  <c r="K538" i="2"/>
  <c r="K537" i="2"/>
  <c r="K536" i="2"/>
  <c r="K535" i="2"/>
  <c r="K534" i="2"/>
  <c r="K533" i="2"/>
  <c r="K532" i="2"/>
  <c r="K531" i="2"/>
  <c r="K530" i="2"/>
  <c r="K529" i="2"/>
  <c r="K528" i="2"/>
  <c r="K527" i="2"/>
  <c r="K526" i="2"/>
  <c r="K525" i="2"/>
  <c r="K524" i="2"/>
  <c r="K523" i="2"/>
  <c r="K522" i="2"/>
  <c r="K521" i="2"/>
  <c r="K520" i="2"/>
  <c r="K519" i="2"/>
  <c r="K518" i="2"/>
  <c r="K517" i="2"/>
  <c r="K516" i="2"/>
  <c r="K514" i="2"/>
  <c r="K512" i="2"/>
  <c r="K510" i="2"/>
  <c r="K508" i="2"/>
  <c r="K507" i="2"/>
  <c r="K503" i="2"/>
  <c r="K502" i="2"/>
  <c r="K501" i="2"/>
  <c r="K500" i="2"/>
  <c r="K499" i="2"/>
  <c r="K498" i="2"/>
  <c r="K497" i="2"/>
  <c r="K496" i="2"/>
  <c r="K495" i="2"/>
  <c r="K494" i="2"/>
  <c r="K493" i="2"/>
  <c r="K492" i="2"/>
  <c r="K491" i="2"/>
  <c r="K490" i="2"/>
  <c r="K489" i="2"/>
  <c r="K488" i="2"/>
  <c r="K487" i="2"/>
  <c r="K486" i="2"/>
  <c r="K485" i="2"/>
  <c r="K484" i="2"/>
  <c r="K483" i="2"/>
  <c r="K482" i="2"/>
  <c r="K481" i="2"/>
  <c r="K480" i="2"/>
  <c r="K479" i="2"/>
  <c r="K478" i="2"/>
  <c r="K477" i="2"/>
  <c r="K476" i="2"/>
  <c r="K475" i="2"/>
  <c r="K474" i="2"/>
  <c r="K472" i="2"/>
  <c r="K470" i="2"/>
  <c r="K468" i="2"/>
  <c r="K466" i="2"/>
  <c r="K465" i="2"/>
  <c r="K461" i="2"/>
  <c r="K460" i="2"/>
  <c r="K459" i="2"/>
  <c r="K458" i="2"/>
  <c r="K457" i="2"/>
  <c r="K456" i="2"/>
  <c r="K455" i="2"/>
  <c r="K454" i="2"/>
  <c r="K453" i="2"/>
  <c r="K452" i="2"/>
  <c r="K451" i="2"/>
  <c r="K450" i="2"/>
  <c r="K449" i="2"/>
  <c r="K448" i="2"/>
  <c r="K447" i="2"/>
  <c r="K446" i="2"/>
  <c r="K445" i="2"/>
  <c r="K444" i="2"/>
  <c r="K443" i="2"/>
  <c r="K442" i="2"/>
  <c r="K441" i="2"/>
  <c r="K440" i="2"/>
  <c r="K439" i="2"/>
  <c r="K438" i="2"/>
  <c r="K437" i="2"/>
  <c r="K436" i="2"/>
  <c r="K435" i="2"/>
  <c r="K434" i="2"/>
  <c r="K433" i="2"/>
  <c r="K432" i="2"/>
  <c r="K430" i="2"/>
  <c r="K428" i="2"/>
  <c r="K426" i="2"/>
  <c r="K424" i="2"/>
  <c r="K423" i="2"/>
  <c r="K419" i="2"/>
  <c r="K418" i="2"/>
  <c r="K417" i="2"/>
  <c r="K416" i="2"/>
  <c r="K415" i="2"/>
  <c r="K414" i="2"/>
  <c r="K413" i="2"/>
  <c r="K412" i="2"/>
  <c r="K411" i="2"/>
  <c r="K410" i="2"/>
  <c r="K409" i="2"/>
  <c r="K408" i="2"/>
  <c r="K407" i="2"/>
  <c r="K406" i="2"/>
  <c r="K405" i="2"/>
  <c r="K404" i="2"/>
  <c r="K403" i="2"/>
  <c r="K402" i="2"/>
  <c r="K401" i="2"/>
  <c r="K400" i="2"/>
  <c r="K399" i="2"/>
  <c r="K398" i="2"/>
  <c r="K397" i="2"/>
  <c r="K396" i="2"/>
  <c r="K395" i="2"/>
  <c r="K394" i="2"/>
  <c r="K393" i="2"/>
  <c r="K392" i="2"/>
  <c r="K391" i="2"/>
  <c r="K390" i="2"/>
  <c r="K388" i="2"/>
  <c r="K386" i="2"/>
  <c r="K384" i="2"/>
  <c r="K382" i="2"/>
  <c r="K381" i="2"/>
  <c r="K377" i="2"/>
  <c r="K376" i="2"/>
  <c r="K375" i="2"/>
  <c r="K374" i="2"/>
  <c r="K373" i="2"/>
  <c r="K372" i="2"/>
  <c r="K371" i="2"/>
  <c r="K370" i="2"/>
  <c r="K369" i="2"/>
  <c r="K368" i="2"/>
  <c r="K367" i="2"/>
  <c r="K366" i="2"/>
  <c r="K365" i="2"/>
  <c r="K364" i="2"/>
  <c r="K363" i="2"/>
  <c r="K362" i="2"/>
  <c r="K361" i="2"/>
  <c r="K360" i="2"/>
  <c r="K359" i="2"/>
  <c r="K358" i="2"/>
  <c r="K357" i="2"/>
  <c r="K356" i="2"/>
  <c r="K355" i="2"/>
  <c r="K354" i="2"/>
  <c r="K353" i="2"/>
  <c r="K352" i="2"/>
  <c r="K351" i="2"/>
  <c r="K350" i="2"/>
  <c r="K349" i="2"/>
  <c r="K348" i="2"/>
  <c r="K346" i="2"/>
  <c r="K344" i="2"/>
  <c r="K342" i="2"/>
  <c r="K340" i="2"/>
  <c r="K339" i="2"/>
  <c r="K335" i="2"/>
  <c r="K334" i="2"/>
  <c r="K333" i="2"/>
  <c r="K332" i="2"/>
  <c r="K331" i="2"/>
  <c r="K330" i="2"/>
  <c r="K329" i="2"/>
  <c r="K328" i="2"/>
  <c r="K327" i="2"/>
  <c r="K326" i="2"/>
  <c r="K325" i="2"/>
  <c r="K324" i="2"/>
  <c r="K323" i="2"/>
  <c r="K322" i="2"/>
  <c r="K321" i="2"/>
  <c r="K320" i="2"/>
  <c r="K319" i="2"/>
  <c r="K318" i="2"/>
  <c r="K317" i="2"/>
  <c r="K316" i="2"/>
  <c r="K315" i="2"/>
  <c r="K314" i="2"/>
  <c r="K313" i="2"/>
  <c r="K312" i="2"/>
  <c r="K311" i="2"/>
  <c r="K310" i="2"/>
  <c r="K309" i="2"/>
  <c r="K308" i="2"/>
  <c r="K307" i="2"/>
  <c r="K306" i="2"/>
  <c r="K304" i="2"/>
  <c r="K302" i="2"/>
  <c r="K300" i="2"/>
  <c r="K298" i="2"/>
  <c r="K297" i="2"/>
  <c r="K293" i="2"/>
  <c r="K292" i="2"/>
  <c r="K291" i="2"/>
  <c r="K290" i="2"/>
  <c r="K289" i="2"/>
  <c r="K288" i="2"/>
  <c r="K287" i="2"/>
  <c r="K286" i="2"/>
  <c r="K285" i="2"/>
  <c r="K284" i="2"/>
  <c r="K283" i="2"/>
  <c r="K282" i="2"/>
  <c r="K281" i="2"/>
  <c r="K280" i="2"/>
  <c r="K279" i="2"/>
  <c r="K278" i="2"/>
  <c r="K277" i="2"/>
  <c r="K276" i="2"/>
  <c r="K275" i="2"/>
  <c r="K274" i="2"/>
  <c r="K273" i="2"/>
  <c r="K272" i="2"/>
  <c r="K271" i="2"/>
  <c r="K270" i="2"/>
  <c r="K269" i="2"/>
  <c r="K268" i="2"/>
  <c r="K267" i="2"/>
  <c r="K266" i="2"/>
  <c r="K265" i="2"/>
  <c r="K264" i="2"/>
  <c r="K262" i="2"/>
  <c r="K260" i="2"/>
  <c r="K258" i="2"/>
  <c r="K256" i="2"/>
  <c r="K255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0" i="2"/>
  <c r="K218" i="2"/>
  <c r="K216" i="2"/>
  <c r="K214" i="2"/>
  <c r="K213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8" i="2"/>
  <c r="K176" i="2"/>
  <c r="K174" i="2"/>
  <c r="K172" i="2"/>
  <c r="K171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6" i="2"/>
  <c r="K134" i="2"/>
  <c r="K132" i="2"/>
  <c r="K130" i="2"/>
  <c r="K129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4" i="2"/>
  <c r="K92" i="2"/>
  <c r="K90" i="2"/>
  <c r="K88" i="2"/>
  <c r="K87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2" i="2"/>
  <c r="K50" i="2"/>
  <c r="K48" i="2"/>
  <c r="K46" i="2"/>
  <c r="K45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0" i="2"/>
  <c r="K8" i="2"/>
  <c r="K6" i="2"/>
  <c r="K4" i="2"/>
  <c r="K3" i="2"/>
  <c r="J1385" i="2"/>
  <c r="J1384" i="2"/>
  <c r="J1383" i="2"/>
  <c r="J1382" i="2"/>
  <c r="J1381" i="2"/>
  <c r="J1380" i="2"/>
  <c r="J1379" i="2"/>
  <c r="J1378" i="2"/>
  <c r="J1377" i="2"/>
  <c r="J1376" i="2"/>
  <c r="J1375" i="2"/>
  <c r="J1374" i="2"/>
  <c r="J1373" i="2"/>
  <c r="J1372" i="2"/>
  <c r="J1371" i="2"/>
  <c r="J1370" i="2"/>
  <c r="J1369" i="2"/>
  <c r="J1368" i="2"/>
  <c r="J1367" i="2"/>
  <c r="J1366" i="2"/>
  <c r="J1365" i="2"/>
  <c r="J1364" i="2"/>
  <c r="J1363" i="2"/>
  <c r="J1362" i="2"/>
  <c r="J1361" i="2"/>
  <c r="J1360" i="2"/>
  <c r="J1359" i="2"/>
  <c r="J1358" i="2"/>
  <c r="J1357" i="2"/>
  <c r="J1356" i="2"/>
  <c r="J1354" i="2"/>
  <c r="J1352" i="2"/>
  <c r="J1350" i="2"/>
  <c r="J1348" i="2"/>
  <c r="J1347" i="2"/>
  <c r="J1343" i="2"/>
  <c r="J1342" i="2"/>
  <c r="J1341" i="2"/>
  <c r="J1340" i="2"/>
  <c r="J1339" i="2"/>
  <c r="J1338" i="2"/>
  <c r="J1337" i="2"/>
  <c r="J1336" i="2"/>
  <c r="J1335" i="2"/>
  <c r="J1334" i="2"/>
  <c r="J1333" i="2"/>
  <c r="J1332" i="2"/>
  <c r="J1331" i="2"/>
  <c r="J1330" i="2"/>
  <c r="J1329" i="2"/>
  <c r="J1328" i="2"/>
  <c r="J1327" i="2"/>
  <c r="J1326" i="2"/>
  <c r="J1325" i="2"/>
  <c r="J1324" i="2"/>
  <c r="J1323" i="2"/>
  <c r="J1322" i="2"/>
  <c r="J1321" i="2"/>
  <c r="J1320" i="2"/>
  <c r="J1319" i="2"/>
  <c r="J1318" i="2"/>
  <c r="J1317" i="2"/>
  <c r="J1316" i="2"/>
  <c r="J1315" i="2"/>
  <c r="J1314" i="2"/>
  <c r="J1312" i="2"/>
  <c r="J1310" i="2"/>
  <c r="J1308" i="2"/>
  <c r="J1306" i="2"/>
  <c r="J1305" i="2"/>
  <c r="J1301" i="2"/>
  <c r="J1300" i="2"/>
  <c r="J1299" i="2"/>
  <c r="J1298" i="2"/>
  <c r="J1297" i="2"/>
  <c r="J1296" i="2"/>
  <c r="J1295" i="2"/>
  <c r="J1294" i="2"/>
  <c r="J1293" i="2"/>
  <c r="J1292" i="2"/>
  <c r="J1291" i="2"/>
  <c r="J1290" i="2"/>
  <c r="J1289" i="2"/>
  <c r="J1288" i="2"/>
  <c r="J1287" i="2"/>
  <c r="J1286" i="2"/>
  <c r="J1285" i="2"/>
  <c r="J1284" i="2"/>
  <c r="J1283" i="2"/>
  <c r="J1282" i="2"/>
  <c r="J1281" i="2"/>
  <c r="J1280" i="2"/>
  <c r="J1279" i="2"/>
  <c r="J1278" i="2"/>
  <c r="J1277" i="2"/>
  <c r="J1276" i="2"/>
  <c r="J1275" i="2"/>
  <c r="J1274" i="2"/>
  <c r="J1273" i="2"/>
  <c r="J1272" i="2"/>
  <c r="J1270" i="2"/>
  <c r="J1268" i="2"/>
  <c r="J1266" i="2"/>
  <c r="J1264" i="2"/>
  <c r="J1263" i="2"/>
  <c r="J1259" i="2"/>
  <c r="J1258" i="2"/>
  <c r="J1257" i="2"/>
  <c r="J1256" i="2"/>
  <c r="J1255" i="2"/>
  <c r="J1254" i="2"/>
  <c r="J1253" i="2"/>
  <c r="J1252" i="2"/>
  <c r="J1251" i="2"/>
  <c r="J1250" i="2"/>
  <c r="J1249" i="2"/>
  <c r="J1248" i="2"/>
  <c r="J1247" i="2"/>
  <c r="J1246" i="2"/>
  <c r="J1245" i="2"/>
  <c r="J1244" i="2"/>
  <c r="J1243" i="2"/>
  <c r="J1242" i="2"/>
  <c r="J1241" i="2"/>
  <c r="J1240" i="2"/>
  <c r="J1239" i="2"/>
  <c r="J1238" i="2"/>
  <c r="J1237" i="2"/>
  <c r="J1236" i="2"/>
  <c r="J1235" i="2"/>
  <c r="J1234" i="2"/>
  <c r="J1233" i="2"/>
  <c r="J1232" i="2"/>
  <c r="J1231" i="2"/>
  <c r="J1230" i="2"/>
  <c r="J1228" i="2"/>
  <c r="J1226" i="2"/>
  <c r="J1224" i="2"/>
  <c r="J1222" i="2"/>
  <c r="J1221" i="2"/>
  <c r="J1217" i="2"/>
  <c r="J1216" i="2"/>
  <c r="J1215" i="2"/>
  <c r="J1214" i="2"/>
  <c r="J1213" i="2"/>
  <c r="J1212" i="2"/>
  <c r="J1211" i="2"/>
  <c r="J1210" i="2"/>
  <c r="J1209" i="2"/>
  <c r="J1208" i="2"/>
  <c r="J1207" i="2"/>
  <c r="J1206" i="2"/>
  <c r="J1205" i="2"/>
  <c r="J1204" i="2"/>
  <c r="J1203" i="2"/>
  <c r="J1202" i="2"/>
  <c r="J1201" i="2"/>
  <c r="J1200" i="2"/>
  <c r="J1199" i="2"/>
  <c r="J1198" i="2"/>
  <c r="J1197" i="2"/>
  <c r="J1196" i="2"/>
  <c r="J1195" i="2"/>
  <c r="J1194" i="2"/>
  <c r="J1193" i="2"/>
  <c r="J1192" i="2"/>
  <c r="J1191" i="2"/>
  <c r="J1190" i="2"/>
  <c r="J1189" i="2"/>
  <c r="J1188" i="2"/>
  <c r="J1186" i="2"/>
  <c r="J1184" i="2"/>
  <c r="J1182" i="2"/>
  <c r="J1180" i="2"/>
  <c r="J1179" i="2"/>
  <c r="J1175" i="2"/>
  <c r="J1174" i="2"/>
  <c r="J1173" i="2"/>
  <c r="J1172" i="2"/>
  <c r="J1171" i="2"/>
  <c r="J1170" i="2"/>
  <c r="J1169" i="2"/>
  <c r="J1168" i="2"/>
  <c r="J1167" i="2"/>
  <c r="J1166" i="2"/>
  <c r="J1165" i="2"/>
  <c r="J1164" i="2"/>
  <c r="J1163" i="2"/>
  <c r="J1162" i="2"/>
  <c r="J1161" i="2"/>
  <c r="J1160" i="2"/>
  <c r="J1159" i="2"/>
  <c r="J1158" i="2"/>
  <c r="J1157" i="2"/>
  <c r="J1156" i="2"/>
  <c r="J1155" i="2"/>
  <c r="J1154" i="2"/>
  <c r="J1153" i="2"/>
  <c r="J1152" i="2"/>
  <c r="J1151" i="2"/>
  <c r="J1150" i="2"/>
  <c r="J1149" i="2"/>
  <c r="J1148" i="2"/>
  <c r="J1147" i="2"/>
  <c r="J1146" i="2"/>
  <c r="J1144" i="2"/>
  <c r="J1142" i="2"/>
  <c r="J1140" i="2"/>
  <c r="J1138" i="2"/>
  <c r="J1137" i="2"/>
  <c r="J1133" i="2"/>
  <c r="J1132" i="2"/>
  <c r="J1131" i="2"/>
  <c r="J1130" i="2"/>
  <c r="J1129" i="2"/>
  <c r="J1128" i="2"/>
  <c r="J1127" i="2"/>
  <c r="J1126" i="2"/>
  <c r="J1125" i="2"/>
  <c r="J1124" i="2"/>
  <c r="J1123" i="2"/>
  <c r="J1122" i="2"/>
  <c r="J1121" i="2"/>
  <c r="J1120" i="2"/>
  <c r="J1119" i="2"/>
  <c r="J1118" i="2"/>
  <c r="J1117" i="2"/>
  <c r="J1116" i="2"/>
  <c r="J1115" i="2"/>
  <c r="J1114" i="2"/>
  <c r="J1113" i="2"/>
  <c r="J1112" i="2"/>
  <c r="J1111" i="2"/>
  <c r="J1110" i="2"/>
  <c r="J1109" i="2"/>
  <c r="J1108" i="2"/>
  <c r="J1107" i="2"/>
  <c r="J1106" i="2"/>
  <c r="J1105" i="2"/>
  <c r="J1104" i="2"/>
  <c r="J1102" i="2"/>
  <c r="J1100" i="2"/>
  <c r="J1098" i="2"/>
  <c r="J1096" i="2"/>
  <c r="J1095" i="2"/>
  <c r="J1091" i="2"/>
  <c r="J1090" i="2"/>
  <c r="J1089" i="2"/>
  <c r="J1088" i="2"/>
  <c r="J1087" i="2"/>
  <c r="J1086" i="2"/>
  <c r="J1085" i="2"/>
  <c r="J1084" i="2"/>
  <c r="J1083" i="2"/>
  <c r="J1082" i="2"/>
  <c r="J1081" i="2"/>
  <c r="J1080" i="2"/>
  <c r="J1079" i="2"/>
  <c r="J1078" i="2"/>
  <c r="J1077" i="2"/>
  <c r="J1076" i="2"/>
  <c r="J1075" i="2"/>
  <c r="J1074" i="2"/>
  <c r="J1073" i="2"/>
  <c r="J1072" i="2"/>
  <c r="J1071" i="2"/>
  <c r="J1070" i="2"/>
  <c r="J1069" i="2"/>
  <c r="J1068" i="2"/>
  <c r="J1067" i="2"/>
  <c r="J1066" i="2"/>
  <c r="J1065" i="2"/>
  <c r="J1064" i="2"/>
  <c r="J1063" i="2"/>
  <c r="J1062" i="2"/>
  <c r="J1060" i="2"/>
  <c r="J1058" i="2"/>
  <c r="J1056" i="2"/>
  <c r="J1054" i="2"/>
  <c r="J1053" i="2"/>
  <c r="J1049" i="2"/>
  <c r="J1048" i="2"/>
  <c r="J1047" i="2"/>
  <c r="J1046" i="2"/>
  <c r="J1045" i="2"/>
  <c r="J1044" i="2"/>
  <c r="J1043" i="2"/>
  <c r="J1042" i="2"/>
  <c r="J1041" i="2"/>
  <c r="J1040" i="2"/>
  <c r="J1039" i="2"/>
  <c r="J1038" i="2"/>
  <c r="J1037" i="2"/>
  <c r="J1036" i="2"/>
  <c r="J1035" i="2"/>
  <c r="J1034" i="2"/>
  <c r="J1033" i="2"/>
  <c r="J1032" i="2"/>
  <c r="J1031" i="2"/>
  <c r="J1030" i="2"/>
  <c r="J1029" i="2"/>
  <c r="J1028" i="2"/>
  <c r="J1027" i="2"/>
  <c r="J1026" i="2"/>
  <c r="J1025" i="2"/>
  <c r="J1024" i="2"/>
  <c r="J1023" i="2"/>
  <c r="J1022" i="2"/>
  <c r="J1021" i="2"/>
  <c r="J1020" i="2"/>
  <c r="J1018" i="2"/>
  <c r="J1016" i="2"/>
  <c r="J1014" i="2"/>
  <c r="J1012" i="2"/>
  <c r="J1011" i="2"/>
  <c r="J1007" i="2"/>
  <c r="J1006" i="2"/>
  <c r="J1005" i="2"/>
  <c r="J1004" i="2"/>
  <c r="J1003" i="2"/>
  <c r="J1002" i="2"/>
  <c r="J1001" i="2"/>
  <c r="J1000" i="2"/>
  <c r="J999" i="2"/>
  <c r="J998" i="2"/>
  <c r="J997" i="2"/>
  <c r="J996" i="2"/>
  <c r="J995" i="2"/>
  <c r="J994" i="2"/>
  <c r="J993" i="2"/>
  <c r="J992" i="2"/>
  <c r="J991" i="2"/>
  <c r="J990" i="2"/>
  <c r="J989" i="2"/>
  <c r="J988" i="2"/>
  <c r="J987" i="2"/>
  <c r="J986" i="2"/>
  <c r="J985" i="2"/>
  <c r="J984" i="2"/>
  <c r="J983" i="2"/>
  <c r="J982" i="2"/>
  <c r="J981" i="2"/>
  <c r="J980" i="2"/>
  <c r="J979" i="2"/>
  <c r="J978" i="2"/>
  <c r="J976" i="2"/>
  <c r="J974" i="2"/>
  <c r="J972" i="2"/>
  <c r="J970" i="2"/>
  <c r="J969" i="2"/>
  <c r="J965" i="2"/>
  <c r="J964" i="2"/>
  <c r="J963" i="2"/>
  <c r="J962" i="2"/>
  <c r="J961" i="2"/>
  <c r="J960" i="2"/>
  <c r="J959" i="2"/>
  <c r="J958" i="2"/>
  <c r="J957" i="2"/>
  <c r="J956" i="2"/>
  <c r="J955" i="2"/>
  <c r="J954" i="2"/>
  <c r="J953" i="2"/>
  <c r="J952" i="2"/>
  <c r="J951" i="2"/>
  <c r="J950" i="2"/>
  <c r="J949" i="2"/>
  <c r="J948" i="2"/>
  <c r="J947" i="2"/>
  <c r="J946" i="2"/>
  <c r="J945" i="2"/>
  <c r="J944" i="2"/>
  <c r="J943" i="2"/>
  <c r="J942" i="2"/>
  <c r="J941" i="2"/>
  <c r="J940" i="2"/>
  <c r="J939" i="2"/>
  <c r="J938" i="2"/>
  <c r="J937" i="2"/>
  <c r="J936" i="2"/>
  <c r="J934" i="2"/>
  <c r="J932" i="2"/>
  <c r="J930" i="2"/>
  <c r="J928" i="2"/>
  <c r="J927" i="2"/>
  <c r="J923" i="2"/>
  <c r="J922" i="2"/>
  <c r="J921" i="2"/>
  <c r="J920" i="2"/>
  <c r="J919" i="2"/>
  <c r="J918" i="2"/>
  <c r="J917" i="2"/>
  <c r="J916" i="2"/>
  <c r="J915" i="2"/>
  <c r="J914" i="2"/>
  <c r="J913" i="2"/>
  <c r="J912" i="2"/>
  <c r="J911" i="2"/>
  <c r="J910" i="2"/>
  <c r="J909" i="2"/>
  <c r="J908" i="2"/>
  <c r="J907" i="2"/>
  <c r="J906" i="2"/>
  <c r="J905" i="2"/>
  <c r="J904" i="2"/>
  <c r="J903" i="2"/>
  <c r="J902" i="2"/>
  <c r="J901" i="2"/>
  <c r="J900" i="2"/>
  <c r="J899" i="2"/>
  <c r="J898" i="2"/>
  <c r="J897" i="2"/>
  <c r="J896" i="2"/>
  <c r="J895" i="2"/>
  <c r="J894" i="2"/>
  <c r="J892" i="2"/>
  <c r="J890" i="2"/>
  <c r="J888" i="2"/>
  <c r="J886" i="2"/>
  <c r="J885" i="2"/>
  <c r="J881" i="2"/>
  <c r="J880" i="2"/>
  <c r="J879" i="2"/>
  <c r="J878" i="2"/>
  <c r="J877" i="2"/>
  <c r="J876" i="2"/>
  <c r="J875" i="2"/>
  <c r="J874" i="2"/>
  <c r="J873" i="2"/>
  <c r="J872" i="2"/>
  <c r="J871" i="2"/>
  <c r="J870" i="2"/>
  <c r="J869" i="2"/>
  <c r="J868" i="2"/>
  <c r="J867" i="2"/>
  <c r="J866" i="2"/>
  <c r="J865" i="2"/>
  <c r="J864" i="2"/>
  <c r="J863" i="2"/>
  <c r="J862" i="2"/>
  <c r="J861" i="2"/>
  <c r="J860" i="2"/>
  <c r="J859" i="2"/>
  <c r="J858" i="2"/>
  <c r="J857" i="2"/>
  <c r="J856" i="2"/>
  <c r="J855" i="2"/>
  <c r="J854" i="2"/>
  <c r="J853" i="2"/>
  <c r="J852" i="2"/>
  <c r="J850" i="2"/>
  <c r="J848" i="2"/>
  <c r="J846" i="2"/>
  <c r="J844" i="2"/>
  <c r="J843" i="2"/>
  <c r="J839" i="2"/>
  <c r="J838" i="2"/>
  <c r="J837" i="2"/>
  <c r="J836" i="2"/>
  <c r="J835" i="2"/>
  <c r="J834" i="2"/>
  <c r="J833" i="2"/>
  <c r="J832" i="2"/>
  <c r="J831" i="2"/>
  <c r="J830" i="2"/>
  <c r="J829" i="2"/>
  <c r="J828" i="2"/>
  <c r="J827" i="2"/>
  <c r="J826" i="2"/>
  <c r="J825" i="2"/>
  <c r="J824" i="2"/>
  <c r="J823" i="2"/>
  <c r="J822" i="2"/>
  <c r="J821" i="2"/>
  <c r="J820" i="2"/>
  <c r="J819" i="2"/>
  <c r="J818" i="2"/>
  <c r="J817" i="2"/>
  <c r="J816" i="2"/>
  <c r="J815" i="2"/>
  <c r="J814" i="2"/>
  <c r="J813" i="2"/>
  <c r="J812" i="2"/>
  <c r="J811" i="2"/>
  <c r="J810" i="2"/>
  <c r="J808" i="2"/>
  <c r="J806" i="2"/>
  <c r="J804" i="2"/>
  <c r="J802" i="2"/>
  <c r="J801" i="2"/>
  <c r="J797" i="2"/>
  <c r="J796" i="2"/>
  <c r="J795" i="2"/>
  <c r="J794" i="2"/>
  <c r="J793" i="2"/>
  <c r="J792" i="2"/>
  <c r="J791" i="2"/>
  <c r="J790" i="2"/>
  <c r="J789" i="2"/>
  <c r="J788" i="2"/>
  <c r="J787" i="2"/>
  <c r="J786" i="2"/>
  <c r="J785" i="2"/>
  <c r="J784" i="2"/>
  <c r="J783" i="2"/>
  <c r="J782" i="2"/>
  <c r="J781" i="2"/>
  <c r="J780" i="2"/>
  <c r="J779" i="2"/>
  <c r="J778" i="2"/>
  <c r="J777" i="2"/>
  <c r="J776" i="2"/>
  <c r="J775" i="2"/>
  <c r="J774" i="2"/>
  <c r="J773" i="2"/>
  <c r="J772" i="2"/>
  <c r="J771" i="2"/>
  <c r="J770" i="2"/>
  <c r="J769" i="2"/>
  <c r="J768" i="2"/>
  <c r="J766" i="2"/>
  <c r="J764" i="2"/>
  <c r="J762" i="2"/>
  <c r="J760" i="2"/>
  <c r="J759" i="2"/>
  <c r="J755" i="2"/>
  <c r="J754" i="2"/>
  <c r="J753" i="2"/>
  <c r="J752" i="2"/>
  <c r="J751" i="2"/>
  <c r="J750" i="2"/>
  <c r="J749" i="2"/>
  <c r="J748" i="2"/>
  <c r="J747" i="2"/>
  <c r="J746" i="2"/>
  <c r="J745" i="2"/>
  <c r="J744" i="2"/>
  <c r="J743" i="2"/>
  <c r="J742" i="2"/>
  <c r="J741" i="2"/>
  <c r="J740" i="2"/>
  <c r="J739" i="2"/>
  <c r="J738" i="2"/>
  <c r="J737" i="2"/>
  <c r="J736" i="2"/>
  <c r="J735" i="2"/>
  <c r="J734" i="2"/>
  <c r="J733" i="2"/>
  <c r="J732" i="2"/>
  <c r="J731" i="2"/>
  <c r="J730" i="2"/>
  <c r="J729" i="2"/>
  <c r="J728" i="2"/>
  <c r="J727" i="2"/>
  <c r="J726" i="2"/>
  <c r="J724" i="2"/>
  <c r="J722" i="2"/>
  <c r="J720" i="2"/>
  <c r="J718" i="2"/>
  <c r="J717" i="2"/>
  <c r="J713" i="2"/>
  <c r="J712" i="2"/>
  <c r="J711" i="2"/>
  <c r="J710" i="2"/>
  <c r="J709" i="2"/>
  <c r="J708" i="2"/>
  <c r="J707" i="2"/>
  <c r="J706" i="2"/>
  <c r="J705" i="2"/>
  <c r="J704" i="2"/>
  <c r="J703" i="2"/>
  <c r="J702" i="2"/>
  <c r="J701" i="2"/>
  <c r="J700" i="2"/>
  <c r="J699" i="2"/>
  <c r="J698" i="2"/>
  <c r="J697" i="2"/>
  <c r="J696" i="2"/>
  <c r="J695" i="2"/>
  <c r="J694" i="2"/>
  <c r="J693" i="2"/>
  <c r="J692" i="2"/>
  <c r="J691" i="2"/>
  <c r="J690" i="2"/>
  <c r="J689" i="2"/>
  <c r="J688" i="2"/>
  <c r="J687" i="2"/>
  <c r="J686" i="2"/>
  <c r="J685" i="2"/>
  <c r="J684" i="2"/>
  <c r="J682" i="2"/>
  <c r="J680" i="2"/>
  <c r="J678" i="2"/>
  <c r="J676" i="2"/>
  <c r="J675" i="2"/>
  <c r="J671" i="2"/>
  <c r="J670" i="2"/>
  <c r="J669" i="2"/>
  <c r="J668" i="2"/>
  <c r="J667" i="2"/>
  <c r="J666" i="2"/>
  <c r="J665" i="2"/>
  <c r="J664" i="2"/>
  <c r="J663" i="2"/>
  <c r="J662" i="2"/>
  <c r="J661" i="2"/>
  <c r="J660" i="2"/>
  <c r="J659" i="2"/>
  <c r="J658" i="2"/>
  <c r="J657" i="2"/>
  <c r="J656" i="2"/>
  <c r="J655" i="2"/>
  <c r="J654" i="2"/>
  <c r="J653" i="2"/>
  <c r="J652" i="2"/>
  <c r="J651" i="2"/>
  <c r="J650" i="2"/>
  <c r="J649" i="2"/>
  <c r="J648" i="2"/>
  <c r="J647" i="2"/>
  <c r="J646" i="2"/>
  <c r="J645" i="2"/>
  <c r="J644" i="2"/>
  <c r="J643" i="2"/>
  <c r="J642" i="2"/>
  <c r="J640" i="2"/>
  <c r="J638" i="2"/>
  <c r="J636" i="2"/>
  <c r="J634" i="2"/>
  <c r="J633" i="2"/>
  <c r="J629" i="2"/>
  <c r="J628" i="2"/>
  <c r="J627" i="2"/>
  <c r="J626" i="2"/>
  <c r="J625" i="2"/>
  <c r="J624" i="2"/>
  <c r="J623" i="2"/>
  <c r="J622" i="2"/>
  <c r="J621" i="2"/>
  <c r="J620" i="2"/>
  <c r="J619" i="2"/>
  <c r="J618" i="2"/>
  <c r="J617" i="2"/>
  <c r="J616" i="2"/>
  <c r="J615" i="2"/>
  <c r="J614" i="2"/>
  <c r="J613" i="2"/>
  <c r="J612" i="2"/>
  <c r="J611" i="2"/>
  <c r="J610" i="2"/>
  <c r="J609" i="2"/>
  <c r="J608" i="2"/>
  <c r="J607" i="2"/>
  <c r="J606" i="2"/>
  <c r="J605" i="2"/>
  <c r="J604" i="2"/>
  <c r="J603" i="2"/>
  <c r="J602" i="2"/>
  <c r="J601" i="2"/>
  <c r="J600" i="2"/>
  <c r="J598" i="2"/>
  <c r="J596" i="2"/>
  <c r="J594" i="2"/>
  <c r="J592" i="2"/>
  <c r="J591" i="2"/>
  <c r="J545" i="2"/>
  <c r="J544" i="2"/>
  <c r="J543" i="2"/>
  <c r="J542" i="2"/>
  <c r="J541" i="2"/>
  <c r="J540" i="2"/>
  <c r="J539" i="2"/>
  <c r="J538" i="2"/>
  <c r="J537" i="2"/>
  <c r="J536" i="2"/>
  <c r="J535" i="2"/>
  <c r="J534" i="2"/>
  <c r="J533" i="2"/>
  <c r="J532" i="2"/>
  <c r="J531" i="2"/>
  <c r="J530" i="2"/>
  <c r="J529" i="2"/>
  <c r="J528" i="2"/>
  <c r="J527" i="2"/>
  <c r="J526" i="2"/>
  <c r="J525" i="2"/>
  <c r="J524" i="2"/>
  <c r="J523" i="2"/>
  <c r="J522" i="2"/>
  <c r="J521" i="2"/>
  <c r="J520" i="2"/>
  <c r="J519" i="2"/>
  <c r="J518" i="2"/>
  <c r="J517" i="2"/>
  <c r="J516" i="2"/>
  <c r="J514" i="2"/>
  <c r="J512" i="2"/>
  <c r="J510" i="2"/>
  <c r="J508" i="2"/>
  <c r="J507" i="2"/>
  <c r="J503" i="2"/>
  <c r="J502" i="2"/>
  <c r="J501" i="2"/>
  <c r="J500" i="2"/>
  <c r="J499" i="2"/>
  <c r="J498" i="2"/>
  <c r="J497" i="2"/>
  <c r="J496" i="2"/>
  <c r="J495" i="2"/>
  <c r="J494" i="2"/>
  <c r="J493" i="2"/>
  <c r="J492" i="2"/>
  <c r="J491" i="2"/>
  <c r="J490" i="2"/>
  <c r="J489" i="2"/>
  <c r="J488" i="2"/>
  <c r="J487" i="2"/>
  <c r="J486" i="2"/>
  <c r="J485" i="2"/>
  <c r="J484" i="2"/>
  <c r="J483" i="2"/>
  <c r="J482" i="2"/>
  <c r="J481" i="2"/>
  <c r="J480" i="2"/>
  <c r="J479" i="2"/>
  <c r="J478" i="2"/>
  <c r="J477" i="2"/>
  <c r="J476" i="2"/>
  <c r="J475" i="2"/>
  <c r="J474" i="2"/>
  <c r="J472" i="2"/>
  <c r="J470" i="2"/>
  <c r="J468" i="2"/>
  <c r="J466" i="2"/>
  <c r="J465" i="2"/>
  <c r="J461" i="2"/>
  <c r="J460" i="2"/>
  <c r="J459" i="2"/>
  <c r="J458" i="2"/>
  <c r="J457" i="2"/>
  <c r="J456" i="2"/>
  <c r="J455" i="2"/>
  <c r="J454" i="2"/>
  <c r="J453" i="2"/>
  <c r="J452" i="2"/>
  <c r="J451" i="2"/>
  <c r="J450" i="2"/>
  <c r="J449" i="2"/>
  <c r="J448" i="2"/>
  <c r="J447" i="2"/>
  <c r="J446" i="2"/>
  <c r="J445" i="2"/>
  <c r="J444" i="2"/>
  <c r="J443" i="2"/>
  <c r="J442" i="2"/>
  <c r="J441" i="2"/>
  <c r="J440" i="2"/>
  <c r="J439" i="2"/>
  <c r="J438" i="2"/>
  <c r="J437" i="2"/>
  <c r="J436" i="2"/>
  <c r="J435" i="2"/>
  <c r="J434" i="2"/>
  <c r="J433" i="2"/>
  <c r="J432" i="2"/>
  <c r="J430" i="2"/>
  <c r="J428" i="2"/>
  <c r="J426" i="2"/>
  <c r="J424" i="2"/>
  <c r="J423" i="2"/>
  <c r="J419" i="2"/>
  <c r="J418" i="2"/>
  <c r="J417" i="2"/>
  <c r="J416" i="2"/>
  <c r="J415" i="2"/>
  <c r="J414" i="2"/>
  <c r="J413" i="2"/>
  <c r="J412" i="2"/>
  <c r="J411" i="2"/>
  <c r="J410" i="2"/>
  <c r="J409" i="2"/>
  <c r="J408" i="2"/>
  <c r="J407" i="2"/>
  <c r="J406" i="2"/>
  <c r="J405" i="2"/>
  <c r="J404" i="2"/>
  <c r="J403" i="2"/>
  <c r="J402" i="2"/>
  <c r="J401" i="2"/>
  <c r="J400" i="2"/>
  <c r="J399" i="2"/>
  <c r="J398" i="2"/>
  <c r="J397" i="2"/>
  <c r="J396" i="2"/>
  <c r="J395" i="2"/>
  <c r="J394" i="2"/>
  <c r="J393" i="2"/>
  <c r="J392" i="2"/>
  <c r="J391" i="2"/>
  <c r="J390" i="2"/>
  <c r="J388" i="2"/>
  <c r="J386" i="2"/>
  <c r="J384" i="2"/>
  <c r="J382" i="2"/>
  <c r="J381" i="2"/>
  <c r="J377" i="2"/>
  <c r="J376" i="2"/>
  <c r="J375" i="2"/>
  <c r="J374" i="2"/>
  <c r="J373" i="2"/>
  <c r="J372" i="2"/>
  <c r="J371" i="2"/>
  <c r="J370" i="2"/>
  <c r="J369" i="2"/>
  <c r="J368" i="2"/>
  <c r="J367" i="2"/>
  <c r="J366" i="2"/>
  <c r="J365" i="2"/>
  <c r="J364" i="2"/>
  <c r="J363" i="2"/>
  <c r="J362" i="2"/>
  <c r="J361" i="2"/>
  <c r="J360" i="2"/>
  <c r="J359" i="2"/>
  <c r="J358" i="2"/>
  <c r="J357" i="2"/>
  <c r="J356" i="2"/>
  <c r="J355" i="2"/>
  <c r="J354" i="2"/>
  <c r="J353" i="2"/>
  <c r="J352" i="2"/>
  <c r="J351" i="2"/>
  <c r="J350" i="2"/>
  <c r="J349" i="2"/>
  <c r="J348" i="2"/>
  <c r="J346" i="2"/>
  <c r="J344" i="2"/>
  <c r="J342" i="2"/>
  <c r="J340" i="2"/>
  <c r="J339" i="2"/>
  <c r="J335" i="2"/>
  <c r="J334" i="2"/>
  <c r="J333" i="2"/>
  <c r="J332" i="2"/>
  <c r="J331" i="2"/>
  <c r="J330" i="2"/>
  <c r="J329" i="2"/>
  <c r="J328" i="2"/>
  <c r="J327" i="2"/>
  <c r="J326" i="2"/>
  <c r="J325" i="2"/>
  <c r="J324" i="2"/>
  <c r="J323" i="2"/>
  <c r="J322" i="2"/>
  <c r="J321" i="2"/>
  <c r="J320" i="2"/>
  <c r="J319" i="2"/>
  <c r="J318" i="2"/>
  <c r="J317" i="2"/>
  <c r="J316" i="2"/>
  <c r="J315" i="2"/>
  <c r="J314" i="2"/>
  <c r="J313" i="2"/>
  <c r="J312" i="2"/>
  <c r="J311" i="2"/>
  <c r="J310" i="2"/>
  <c r="J309" i="2"/>
  <c r="J308" i="2"/>
  <c r="J307" i="2"/>
  <c r="J306" i="2"/>
  <c r="J304" i="2"/>
  <c r="J302" i="2"/>
  <c r="J300" i="2"/>
  <c r="J298" i="2"/>
  <c r="J297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78" i="2"/>
  <c r="J277" i="2"/>
  <c r="J276" i="2"/>
  <c r="J275" i="2"/>
  <c r="J274" i="2"/>
  <c r="J273" i="2"/>
  <c r="J272" i="2"/>
  <c r="J271" i="2"/>
  <c r="J270" i="2"/>
  <c r="J269" i="2"/>
  <c r="J268" i="2"/>
  <c r="J267" i="2"/>
  <c r="J266" i="2"/>
  <c r="J265" i="2"/>
  <c r="J264" i="2"/>
  <c r="J262" i="2"/>
  <c r="J260" i="2"/>
  <c r="J258" i="2"/>
  <c r="J256" i="2"/>
  <c r="J255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4" i="2"/>
  <c r="J223" i="2"/>
  <c r="J222" i="2"/>
  <c r="J220" i="2"/>
  <c r="J218" i="2"/>
  <c r="J216" i="2"/>
  <c r="J214" i="2"/>
  <c r="J213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8" i="2"/>
  <c r="J176" i="2"/>
  <c r="J174" i="2"/>
  <c r="J172" i="2"/>
  <c r="J171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6" i="2"/>
  <c r="J134" i="2"/>
  <c r="J132" i="2"/>
  <c r="J130" i="2"/>
  <c r="J129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4" i="2"/>
  <c r="J92" i="2"/>
  <c r="J90" i="2"/>
  <c r="J88" i="2"/>
  <c r="J87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2" i="2"/>
  <c r="J50" i="2"/>
  <c r="J48" i="2"/>
  <c r="J46" i="2"/>
  <c r="J45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0" i="2"/>
  <c r="J8" i="2"/>
  <c r="J6" i="2"/>
  <c r="J4" i="2"/>
  <c r="J3" i="2"/>
  <c r="I1369" i="2"/>
  <c r="I1368" i="2"/>
  <c r="I1367" i="2"/>
  <c r="I1366" i="2"/>
  <c r="I1365" i="2"/>
  <c r="I1364" i="2"/>
  <c r="I1363" i="2"/>
  <c r="I1362" i="2"/>
  <c r="I1361" i="2"/>
  <c r="I1360" i="2"/>
  <c r="I1359" i="2"/>
  <c r="I1358" i="2"/>
  <c r="I1357" i="2"/>
  <c r="I1356" i="2"/>
  <c r="I1327" i="2"/>
  <c r="I1326" i="2"/>
  <c r="I1325" i="2"/>
  <c r="I1324" i="2"/>
  <c r="I1323" i="2"/>
  <c r="I1322" i="2"/>
  <c r="I1321" i="2"/>
  <c r="I1320" i="2"/>
  <c r="I1319" i="2"/>
  <c r="I1318" i="2"/>
  <c r="I1317" i="2"/>
  <c r="I1316" i="2"/>
  <c r="I1315" i="2"/>
  <c r="I1314" i="2"/>
  <c r="I1285" i="2"/>
  <c r="I1284" i="2"/>
  <c r="I1283" i="2"/>
  <c r="I1282" i="2"/>
  <c r="I1281" i="2"/>
  <c r="I1280" i="2"/>
  <c r="I1279" i="2"/>
  <c r="I1278" i="2"/>
  <c r="I1277" i="2"/>
  <c r="I1276" i="2"/>
  <c r="I1275" i="2"/>
  <c r="I1274" i="2"/>
  <c r="I1273" i="2"/>
  <c r="I1272" i="2"/>
  <c r="I1243" i="2"/>
  <c r="I1242" i="2"/>
  <c r="I1241" i="2"/>
  <c r="I1240" i="2"/>
  <c r="I1239" i="2"/>
  <c r="I1238" i="2"/>
  <c r="I1237" i="2"/>
  <c r="I1236" i="2"/>
  <c r="I1235" i="2"/>
  <c r="I1234" i="2"/>
  <c r="I1233" i="2"/>
  <c r="I1232" i="2"/>
  <c r="I1231" i="2"/>
  <c r="I1230" i="2"/>
  <c r="I1201" i="2"/>
  <c r="I1200" i="2"/>
  <c r="I1199" i="2"/>
  <c r="I1198" i="2"/>
  <c r="I1197" i="2"/>
  <c r="I1196" i="2"/>
  <c r="I1195" i="2"/>
  <c r="I1194" i="2"/>
  <c r="I1193" i="2"/>
  <c r="I1192" i="2"/>
  <c r="I1191" i="2"/>
  <c r="I1190" i="2"/>
  <c r="I1189" i="2"/>
  <c r="I1188" i="2"/>
  <c r="I1159" i="2"/>
  <c r="I1158" i="2"/>
  <c r="I1157" i="2"/>
  <c r="I1156" i="2"/>
  <c r="I1155" i="2"/>
  <c r="I1154" i="2"/>
  <c r="I1153" i="2"/>
  <c r="I1152" i="2"/>
  <c r="I1151" i="2"/>
  <c r="I1150" i="2"/>
  <c r="I1149" i="2"/>
  <c r="I1148" i="2"/>
  <c r="I1147" i="2"/>
  <c r="I1146" i="2"/>
  <c r="I1117" i="2"/>
  <c r="I1116" i="2"/>
  <c r="I1115" i="2"/>
  <c r="I1114" i="2"/>
  <c r="I1113" i="2"/>
  <c r="I1112" i="2"/>
  <c r="I1111" i="2"/>
  <c r="I1110" i="2"/>
  <c r="I1109" i="2"/>
  <c r="I1108" i="2"/>
  <c r="I1107" i="2"/>
  <c r="I1106" i="2"/>
  <c r="I1105" i="2"/>
  <c r="I1104" i="2"/>
  <c r="I1075" i="2"/>
  <c r="I1074" i="2"/>
  <c r="I1073" i="2"/>
  <c r="I1072" i="2"/>
  <c r="I1071" i="2"/>
  <c r="I1070" i="2"/>
  <c r="I1069" i="2"/>
  <c r="I1068" i="2"/>
  <c r="I1067" i="2"/>
  <c r="I1066" i="2"/>
  <c r="I1065" i="2"/>
  <c r="I1064" i="2"/>
  <c r="I1063" i="2"/>
  <c r="I1062" i="2"/>
  <c r="I1033" i="2"/>
  <c r="I1032" i="2"/>
  <c r="I1031" i="2"/>
  <c r="I1030" i="2"/>
  <c r="I1029" i="2"/>
  <c r="I1028" i="2"/>
  <c r="I1027" i="2"/>
  <c r="I1026" i="2"/>
  <c r="I1025" i="2"/>
  <c r="I1024" i="2"/>
  <c r="I1023" i="2"/>
  <c r="I1022" i="2"/>
  <c r="I1021" i="2"/>
  <c r="I1020" i="2"/>
  <c r="I991" i="2"/>
  <c r="I990" i="2"/>
  <c r="I989" i="2"/>
  <c r="I988" i="2"/>
  <c r="I987" i="2"/>
  <c r="I986" i="2"/>
  <c r="I985" i="2"/>
  <c r="I984" i="2"/>
  <c r="I983" i="2"/>
  <c r="I982" i="2"/>
  <c r="I981" i="2"/>
  <c r="I980" i="2"/>
  <c r="I979" i="2"/>
  <c r="I978" i="2"/>
  <c r="I949" i="2"/>
  <c r="I948" i="2"/>
  <c r="I947" i="2"/>
  <c r="I946" i="2"/>
  <c r="I945" i="2"/>
  <c r="I944" i="2"/>
  <c r="I943" i="2"/>
  <c r="I942" i="2"/>
  <c r="I941" i="2"/>
  <c r="I940" i="2"/>
  <c r="I939" i="2"/>
  <c r="I938" i="2"/>
  <c r="I937" i="2"/>
  <c r="I936" i="2"/>
  <c r="I907" i="2"/>
  <c r="I906" i="2"/>
  <c r="I905" i="2"/>
  <c r="I904" i="2"/>
  <c r="I903" i="2"/>
  <c r="I902" i="2"/>
  <c r="I901" i="2"/>
  <c r="I900" i="2"/>
  <c r="I899" i="2"/>
  <c r="I898" i="2"/>
  <c r="I897" i="2"/>
  <c r="I896" i="2"/>
  <c r="I895" i="2"/>
  <c r="I894" i="2"/>
  <c r="I865" i="2"/>
  <c r="I864" i="2"/>
  <c r="I863" i="2"/>
  <c r="I862" i="2"/>
  <c r="I861" i="2"/>
  <c r="I860" i="2"/>
  <c r="I859" i="2"/>
  <c r="I858" i="2"/>
  <c r="I857" i="2"/>
  <c r="I856" i="2"/>
  <c r="I855" i="2"/>
  <c r="I854" i="2"/>
  <c r="I853" i="2"/>
  <c r="I852" i="2"/>
  <c r="I823" i="2"/>
  <c r="I822" i="2"/>
  <c r="I821" i="2"/>
  <c r="I820" i="2"/>
  <c r="I819" i="2"/>
  <c r="I818" i="2"/>
  <c r="I817" i="2"/>
  <c r="I816" i="2"/>
  <c r="I815" i="2"/>
  <c r="I814" i="2"/>
  <c r="I813" i="2"/>
  <c r="I812" i="2"/>
  <c r="I811" i="2"/>
  <c r="I810" i="2"/>
  <c r="I781" i="2"/>
  <c r="I780" i="2"/>
  <c r="I779" i="2"/>
  <c r="I778" i="2"/>
  <c r="I777" i="2"/>
  <c r="I776" i="2"/>
  <c r="I775" i="2"/>
  <c r="I774" i="2"/>
  <c r="I773" i="2"/>
  <c r="I772" i="2"/>
  <c r="I771" i="2"/>
  <c r="I770" i="2"/>
  <c r="I769" i="2"/>
  <c r="I768" i="2"/>
  <c r="I739" i="2"/>
  <c r="I738" i="2"/>
  <c r="I737" i="2"/>
  <c r="I736" i="2"/>
  <c r="I735" i="2"/>
  <c r="I734" i="2"/>
  <c r="I733" i="2"/>
  <c r="I732" i="2"/>
  <c r="I731" i="2"/>
  <c r="I730" i="2"/>
  <c r="I729" i="2"/>
  <c r="I728" i="2"/>
  <c r="I727" i="2"/>
  <c r="I726" i="2"/>
  <c r="I697" i="2"/>
  <c r="I696" i="2"/>
  <c r="I695" i="2"/>
  <c r="I694" i="2"/>
  <c r="I693" i="2"/>
  <c r="I692" i="2"/>
  <c r="I691" i="2"/>
  <c r="I690" i="2"/>
  <c r="I689" i="2"/>
  <c r="I688" i="2"/>
  <c r="I687" i="2"/>
  <c r="I686" i="2"/>
  <c r="I685" i="2"/>
  <c r="I684" i="2"/>
  <c r="I655" i="2"/>
  <c r="I654" i="2"/>
  <c r="I653" i="2"/>
  <c r="I652" i="2"/>
  <c r="I651" i="2"/>
  <c r="I650" i="2"/>
  <c r="I649" i="2"/>
  <c r="I648" i="2"/>
  <c r="I647" i="2"/>
  <c r="I646" i="2"/>
  <c r="I645" i="2"/>
  <c r="I644" i="2"/>
  <c r="I643" i="2"/>
  <c r="I642" i="2"/>
  <c r="I613" i="2"/>
  <c r="I612" i="2"/>
  <c r="I611" i="2"/>
  <c r="I610" i="2"/>
  <c r="I609" i="2"/>
  <c r="I608" i="2"/>
  <c r="I607" i="2"/>
  <c r="I606" i="2"/>
  <c r="I605" i="2"/>
  <c r="I604" i="2"/>
  <c r="I603" i="2"/>
  <c r="I602" i="2"/>
  <c r="I601" i="2"/>
  <c r="I600" i="2"/>
  <c r="I529" i="2"/>
  <c r="I528" i="2"/>
  <c r="I527" i="2"/>
  <c r="I526" i="2"/>
  <c r="I525" i="2"/>
  <c r="I524" i="2"/>
  <c r="I523" i="2"/>
  <c r="I522" i="2"/>
  <c r="I521" i="2"/>
  <c r="I520" i="2"/>
  <c r="I519" i="2"/>
  <c r="I518" i="2"/>
  <c r="I517" i="2"/>
  <c r="I516" i="2"/>
  <c r="I487" i="2"/>
  <c r="I486" i="2"/>
  <c r="I485" i="2"/>
  <c r="I484" i="2"/>
  <c r="I483" i="2"/>
  <c r="I482" i="2"/>
  <c r="I481" i="2"/>
  <c r="I480" i="2"/>
  <c r="I479" i="2"/>
  <c r="I478" i="2"/>
  <c r="I477" i="2"/>
  <c r="I476" i="2"/>
  <c r="I475" i="2"/>
  <c r="I474" i="2"/>
  <c r="I445" i="2"/>
  <c r="I444" i="2"/>
  <c r="I443" i="2"/>
  <c r="I442" i="2"/>
  <c r="I441" i="2"/>
  <c r="I440" i="2"/>
  <c r="I439" i="2"/>
  <c r="I438" i="2"/>
  <c r="I437" i="2"/>
  <c r="I436" i="2"/>
  <c r="I435" i="2"/>
  <c r="I434" i="2"/>
  <c r="I433" i="2"/>
  <c r="I432" i="2"/>
  <c r="I403" i="2"/>
  <c r="I402" i="2"/>
  <c r="I401" i="2"/>
  <c r="I400" i="2"/>
  <c r="I399" i="2"/>
  <c r="I398" i="2"/>
  <c r="I397" i="2"/>
  <c r="I396" i="2"/>
  <c r="I395" i="2"/>
  <c r="I394" i="2"/>
  <c r="I393" i="2"/>
  <c r="I392" i="2"/>
  <c r="I391" i="2"/>
  <c r="I390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19" i="2"/>
  <c r="I318" i="2"/>
  <c r="I317" i="2"/>
  <c r="I316" i="2"/>
  <c r="I315" i="2"/>
  <c r="I314" i="2"/>
  <c r="I313" i="2"/>
  <c r="I312" i="2"/>
  <c r="I311" i="2"/>
  <c r="I310" i="2"/>
  <c r="I309" i="2"/>
  <c r="I308" i="2"/>
  <c r="I307" i="2"/>
  <c r="I306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H1385" i="2"/>
  <c r="H1384" i="2"/>
  <c r="H1383" i="2"/>
  <c r="H1382" i="2"/>
  <c r="H1381" i="2"/>
  <c r="H1380" i="2"/>
  <c r="H1379" i="2"/>
  <c r="H1378" i="2"/>
  <c r="H1377" i="2"/>
  <c r="H1376" i="2"/>
  <c r="H1375" i="2"/>
  <c r="H1374" i="2"/>
  <c r="H1373" i="2"/>
  <c r="H1372" i="2"/>
  <c r="H1371" i="2"/>
  <c r="H1370" i="2"/>
  <c r="H1369" i="2"/>
  <c r="H1368" i="2"/>
  <c r="H1367" i="2"/>
  <c r="H1366" i="2"/>
  <c r="H1365" i="2"/>
  <c r="H1364" i="2"/>
  <c r="H1363" i="2"/>
  <c r="H1362" i="2"/>
  <c r="H1361" i="2"/>
  <c r="H1360" i="2"/>
  <c r="H1359" i="2"/>
  <c r="H1358" i="2"/>
  <c r="H1357" i="2"/>
  <c r="H1356" i="2"/>
  <c r="H1354" i="2"/>
  <c r="H1352" i="2"/>
  <c r="H1350" i="2"/>
  <c r="H1348" i="2"/>
  <c r="H1347" i="2"/>
  <c r="H1343" i="2"/>
  <c r="H1342" i="2"/>
  <c r="H1341" i="2"/>
  <c r="H1340" i="2"/>
  <c r="H1339" i="2"/>
  <c r="H1338" i="2"/>
  <c r="H1337" i="2"/>
  <c r="H1336" i="2"/>
  <c r="H1335" i="2"/>
  <c r="H1334" i="2"/>
  <c r="H1333" i="2"/>
  <c r="H1332" i="2"/>
  <c r="H1331" i="2"/>
  <c r="H1330" i="2"/>
  <c r="H1329" i="2"/>
  <c r="H1328" i="2"/>
  <c r="H1327" i="2"/>
  <c r="H1326" i="2"/>
  <c r="H1325" i="2"/>
  <c r="H1324" i="2"/>
  <c r="H1323" i="2"/>
  <c r="H1322" i="2"/>
  <c r="H1321" i="2"/>
  <c r="H1320" i="2"/>
  <c r="H1319" i="2"/>
  <c r="H1318" i="2"/>
  <c r="H1317" i="2"/>
  <c r="H1316" i="2"/>
  <c r="H1315" i="2"/>
  <c r="H1314" i="2"/>
  <c r="H1312" i="2"/>
  <c r="H1310" i="2"/>
  <c r="H1308" i="2"/>
  <c r="H1306" i="2"/>
  <c r="H1305" i="2"/>
  <c r="H1301" i="2"/>
  <c r="H1300" i="2"/>
  <c r="H1299" i="2"/>
  <c r="H1298" i="2"/>
  <c r="H1297" i="2"/>
  <c r="H1296" i="2"/>
  <c r="H1295" i="2"/>
  <c r="H1294" i="2"/>
  <c r="H1293" i="2"/>
  <c r="H1292" i="2"/>
  <c r="H1291" i="2"/>
  <c r="H1290" i="2"/>
  <c r="H1289" i="2"/>
  <c r="H1288" i="2"/>
  <c r="H1287" i="2"/>
  <c r="H1286" i="2"/>
  <c r="H1285" i="2"/>
  <c r="H1284" i="2"/>
  <c r="H1283" i="2"/>
  <c r="H1282" i="2"/>
  <c r="H1281" i="2"/>
  <c r="H1280" i="2"/>
  <c r="H1279" i="2"/>
  <c r="H1278" i="2"/>
  <c r="H1277" i="2"/>
  <c r="H1276" i="2"/>
  <c r="H1275" i="2"/>
  <c r="H1274" i="2"/>
  <c r="H1273" i="2"/>
  <c r="H1272" i="2"/>
  <c r="H1270" i="2"/>
  <c r="H1268" i="2"/>
  <c r="H1266" i="2"/>
  <c r="H1264" i="2"/>
  <c r="H1263" i="2"/>
  <c r="H1259" i="2"/>
  <c r="H1258" i="2"/>
  <c r="H1257" i="2"/>
  <c r="H1256" i="2"/>
  <c r="H1255" i="2"/>
  <c r="H1254" i="2"/>
  <c r="H1253" i="2"/>
  <c r="H1252" i="2"/>
  <c r="H1251" i="2"/>
  <c r="H1250" i="2"/>
  <c r="H1249" i="2"/>
  <c r="H1248" i="2"/>
  <c r="H1247" i="2"/>
  <c r="H1246" i="2"/>
  <c r="H1245" i="2"/>
  <c r="H1244" i="2"/>
  <c r="H1243" i="2"/>
  <c r="H1242" i="2"/>
  <c r="H1241" i="2"/>
  <c r="H1240" i="2"/>
  <c r="H1239" i="2"/>
  <c r="H1238" i="2"/>
  <c r="H1237" i="2"/>
  <c r="H1236" i="2"/>
  <c r="H1235" i="2"/>
  <c r="H1234" i="2"/>
  <c r="H1233" i="2"/>
  <c r="H1232" i="2"/>
  <c r="H1231" i="2"/>
  <c r="H1230" i="2"/>
  <c r="H1228" i="2"/>
  <c r="H1226" i="2"/>
  <c r="H1224" i="2"/>
  <c r="H1222" i="2"/>
  <c r="H1221" i="2"/>
  <c r="H1217" i="2"/>
  <c r="H1216" i="2"/>
  <c r="H1215" i="2"/>
  <c r="H1214" i="2"/>
  <c r="H1213" i="2"/>
  <c r="H1212" i="2"/>
  <c r="H1211" i="2"/>
  <c r="H1210" i="2"/>
  <c r="H1209" i="2"/>
  <c r="H1208" i="2"/>
  <c r="H1207" i="2"/>
  <c r="H1206" i="2"/>
  <c r="H1205" i="2"/>
  <c r="H1204" i="2"/>
  <c r="H1203" i="2"/>
  <c r="H1202" i="2"/>
  <c r="H1201" i="2"/>
  <c r="H1200" i="2"/>
  <c r="H1199" i="2"/>
  <c r="H1198" i="2"/>
  <c r="H1197" i="2"/>
  <c r="H1196" i="2"/>
  <c r="H1195" i="2"/>
  <c r="H1194" i="2"/>
  <c r="H1193" i="2"/>
  <c r="H1192" i="2"/>
  <c r="H1191" i="2"/>
  <c r="H1190" i="2"/>
  <c r="H1189" i="2"/>
  <c r="H1188" i="2"/>
  <c r="H1186" i="2"/>
  <c r="H1184" i="2"/>
  <c r="H1182" i="2"/>
  <c r="H1180" i="2"/>
  <c r="H1179" i="2"/>
  <c r="H1175" i="2"/>
  <c r="H1174" i="2"/>
  <c r="H1173" i="2"/>
  <c r="H1172" i="2"/>
  <c r="H1171" i="2"/>
  <c r="H1170" i="2"/>
  <c r="H1169" i="2"/>
  <c r="H1168" i="2"/>
  <c r="H1167" i="2"/>
  <c r="H1166" i="2"/>
  <c r="H1165" i="2"/>
  <c r="H1164" i="2"/>
  <c r="H1163" i="2"/>
  <c r="H1162" i="2"/>
  <c r="H1161" i="2"/>
  <c r="H1160" i="2"/>
  <c r="H1159" i="2"/>
  <c r="H1158" i="2"/>
  <c r="H1157" i="2"/>
  <c r="H1156" i="2"/>
  <c r="H1155" i="2"/>
  <c r="H1154" i="2"/>
  <c r="H1153" i="2"/>
  <c r="H1152" i="2"/>
  <c r="H1151" i="2"/>
  <c r="H1150" i="2"/>
  <c r="H1149" i="2"/>
  <c r="H1148" i="2"/>
  <c r="H1147" i="2"/>
  <c r="H1146" i="2"/>
  <c r="H1144" i="2"/>
  <c r="H1142" i="2"/>
  <c r="H1140" i="2"/>
  <c r="H1138" i="2"/>
  <c r="H1137" i="2"/>
  <c r="H1133" i="2"/>
  <c r="H1132" i="2"/>
  <c r="H1131" i="2"/>
  <c r="H1130" i="2"/>
  <c r="H1129" i="2"/>
  <c r="H1128" i="2"/>
  <c r="H1127" i="2"/>
  <c r="H1126" i="2"/>
  <c r="H1125" i="2"/>
  <c r="H1124" i="2"/>
  <c r="H1123" i="2"/>
  <c r="H1122" i="2"/>
  <c r="H1121" i="2"/>
  <c r="H1120" i="2"/>
  <c r="H1119" i="2"/>
  <c r="H1118" i="2"/>
  <c r="H1117" i="2"/>
  <c r="H1116" i="2"/>
  <c r="H1115" i="2"/>
  <c r="H1114" i="2"/>
  <c r="H1113" i="2"/>
  <c r="H1112" i="2"/>
  <c r="H1111" i="2"/>
  <c r="H1110" i="2"/>
  <c r="H1109" i="2"/>
  <c r="H1108" i="2"/>
  <c r="H1107" i="2"/>
  <c r="H1106" i="2"/>
  <c r="H1105" i="2"/>
  <c r="H1104" i="2"/>
  <c r="H1102" i="2"/>
  <c r="H1100" i="2"/>
  <c r="H1098" i="2"/>
  <c r="H1096" i="2"/>
  <c r="H1095" i="2"/>
  <c r="H1091" i="2"/>
  <c r="H1090" i="2"/>
  <c r="H1089" i="2"/>
  <c r="H1088" i="2"/>
  <c r="H1087" i="2"/>
  <c r="H1086" i="2"/>
  <c r="H1085" i="2"/>
  <c r="H1084" i="2"/>
  <c r="H1083" i="2"/>
  <c r="H1082" i="2"/>
  <c r="H1081" i="2"/>
  <c r="H1080" i="2"/>
  <c r="H1079" i="2"/>
  <c r="H1078" i="2"/>
  <c r="H1077" i="2"/>
  <c r="H1076" i="2"/>
  <c r="H1075" i="2"/>
  <c r="H1074" i="2"/>
  <c r="H1073" i="2"/>
  <c r="H1072" i="2"/>
  <c r="H1071" i="2"/>
  <c r="H1070" i="2"/>
  <c r="H1069" i="2"/>
  <c r="H1068" i="2"/>
  <c r="H1067" i="2"/>
  <c r="H1066" i="2"/>
  <c r="H1065" i="2"/>
  <c r="H1064" i="2"/>
  <c r="H1063" i="2"/>
  <c r="H1062" i="2"/>
  <c r="H1060" i="2"/>
  <c r="H1058" i="2"/>
  <c r="H1056" i="2"/>
  <c r="H1054" i="2"/>
  <c r="H1053" i="2"/>
  <c r="H1049" i="2"/>
  <c r="H1048" i="2"/>
  <c r="H1047" i="2"/>
  <c r="H1046" i="2"/>
  <c r="H1045" i="2"/>
  <c r="H1044" i="2"/>
  <c r="H1043" i="2"/>
  <c r="H1042" i="2"/>
  <c r="H1041" i="2"/>
  <c r="H1040" i="2"/>
  <c r="H1039" i="2"/>
  <c r="H1038" i="2"/>
  <c r="H1037" i="2"/>
  <c r="H1036" i="2"/>
  <c r="H1035" i="2"/>
  <c r="H1034" i="2"/>
  <c r="H1033" i="2"/>
  <c r="H1032" i="2"/>
  <c r="H1031" i="2"/>
  <c r="H1030" i="2"/>
  <c r="H1029" i="2"/>
  <c r="H1028" i="2"/>
  <c r="H1027" i="2"/>
  <c r="H1026" i="2"/>
  <c r="H1025" i="2"/>
  <c r="H1024" i="2"/>
  <c r="H1023" i="2"/>
  <c r="H1022" i="2"/>
  <c r="H1021" i="2"/>
  <c r="H1020" i="2"/>
  <c r="H1018" i="2"/>
  <c r="H1016" i="2"/>
  <c r="H1014" i="2"/>
  <c r="H1012" i="2"/>
  <c r="H1011" i="2"/>
  <c r="H1007" i="2"/>
  <c r="H1006" i="2"/>
  <c r="H1005" i="2"/>
  <c r="H1004" i="2"/>
  <c r="H1003" i="2"/>
  <c r="H1002" i="2"/>
  <c r="H1001" i="2"/>
  <c r="H1000" i="2"/>
  <c r="H999" i="2"/>
  <c r="H998" i="2"/>
  <c r="H997" i="2"/>
  <c r="H996" i="2"/>
  <c r="H995" i="2"/>
  <c r="H994" i="2"/>
  <c r="H993" i="2"/>
  <c r="H992" i="2"/>
  <c r="H991" i="2"/>
  <c r="H990" i="2"/>
  <c r="H989" i="2"/>
  <c r="H988" i="2"/>
  <c r="H987" i="2"/>
  <c r="H986" i="2"/>
  <c r="H985" i="2"/>
  <c r="H984" i="2"/>
  <c r="H983" i="2"/>
  <c r="H982" i="2"/>
  <c r="H981" i="2"/>
  <c r="H980" i="2"/>
  <c r="H979" i="2"/>
  <c r="H978" i="2"/>
  <c r="H976" i="2"/>
  <c r="H974" i="2"/>
  <c r="H972" i="2"/>
  <c r="H970" i="2"/>
  <c r="H969" i="2"/>
  <c r="H965" i="2"/>
  <c r="H964" i="2"/>
  <c r="H963" i="2"/>
  <c r="H962" i="2"/>
  <c r="H961" i="2"/>
  <c r="H960" i="2"/>
  <c r="H959" i="2"/>
  <c r="H958" i="2"/>
  <c r="H957" i="2"/>
  <c r="H956" i="2"/>
  <c r="H955" i="2"/>
  <c r="H954" i="2"/>
  <c r="H953" i="2"/>
  <c r="H952" i="2"/>
  <c r="H951" i="2"/>
  <c r="H950" i="2"/>
  <c r="H949" i="2"/>
  <c r="H948" i="2"/>
  <c r="H947" i="2"/>
  <c r="H946" i="2"/>
  <c r="H945" i="2"/>
  <c r="H944" i="2"/>
  <c r="H943" i="2"/>
  <c r="H942" i="2"/>
  <c r="H941" i="2"/>
  <c r="H940" i="2"/>
  <c r="H939" i="2"/>
  <c r="H938" i="2"/>
  <c r="H937" i="2"/>
  <c r="H936" i="2"/>
  <c r="H934" i="2"/>
  <c r="H932" i="2"/>
  <c r="H930" i="2"/>
  <c r="H928" i="2"/>
  <c r="H927" i="2"/>
  <c r="H923" i="2"/>
  <c r="H922" i="2"/>
  <c r="H921" i="2"/>
  <c r="H920" i="2"/>
  <c r="H919" i="2"/>
  <c r="H918" i="2"/>
  <c r="H917" i="2"/>
  <c r="H916" i="2"/>
  <c r="H915" i="2"/>
  <c r="H914" i="2"/>
  <c r="H913" i="2"/>
  <c r="H912" i="2"/>
  <c r="H911" i="2"/>
  <c r="H910" i="2"/>
  <c r="H909" i="2"/>
  <c r="H908" i="2"/>
  <c r="H907" i="2"/>
  <c r="H906" i="2"/>
  <c r="H905" i="2"/>
  <c r="H904" i="2"/>
  <c r="H903" i="2"/>
  <c r="H902" i="2"/>
  <c r="H901" i="2"/>
  <c r="H900" i="2"/>
  <c r="H899" i="2"/>
  <c r="H898" i="2"/>
  <c r="H897" i="2"/>
  <c r="H896" i="2"/>
  <c r="H895" i="2"/>
  <c r="H894" i="2"/>
  <c r="H892" i="2"/>
  <c r="H890" i="2"/>
  <c r="H888" i="2"/>
  <c r="H886" i="2"/>
  <c r="H885" i="2"/>
  <c r="H881" i="2"/>
  <c r="H880" i="2"/>
  <c r="H879" i="2"/>
  <c r="H878" i="2"/>
  <c r="H877" i="2"/>
  <c r="H876" i="2"/>
  <c r="H875" i="2"/>
  <c r="H874" i="2"/>
  <c r="H873" i="2"/>
  <c r="H872" i="2"/>
  <c r="H871" i="2"/>
  <c r="H870" i="2"/>
  <c r="H869" i="2"/>
  <c r="H868" i="2"/>
  <c r="H867" i="2"/>
  <c r="H866" i="2"/>
  <c r="H865" i="2"/>
  <c r="H864" i="2"/>
  <c r="H863" i="2"/>
  <c r="H862" i="2"/>
  <c r="H861" i="2"/>
  <c r="H860" i="2"/>
  <c r="H859" i="2"/>
  <c r="H858" i="2"/>
  <c r="H857" i="2"/>
  <c r="H856" i="2"/>
  <c r="H855" i="2"/>
  <c r="H854" i="2"/>
  <c r="H853" i="2"/>
  <c r="H852" i="2"/>
  <c r="H850" i="2"/>
  <c r="H848" i="2"/>
  <c r="H846" i="2"/>
  <c r="H844" i="2"/>
  <c r="H843" i="2"/>
  <c r="H839" i="2"/>
  <c r="H838" i="2"/>
  <c r="H837" i="2"/>
  <c r="H836" i="2"/>
  <c r="H835" i="2"/>
  <c r="H834" i="2"/>
  <c r="H833" i="2"/>
  <c r="H832" i="2"/>
  <c r="H831" i="2"/>
  <c r="H830" i="2"/>
  <c r="H829" i="2"/>
  <c r="H828" i="2"/>
  <c r="H827" i="2"/>
  <c r="H826" i="2"/>
  <c r="H825" i="2"/>
  <c r="H824" i="2"/>
  <c r="H823" i="2"/>
  <c r="H822" i="2"/>
  <c r="H821" i="2"/>
  <c r="H820" i="2"/>
  <c r="H819" i="2"/>
  <c r="H818" i="2"/>
  <c r="H817" i="2"/>
  <c r="H816" i="2"/>
  <c r="H815" i="2"/>
  <c r="H814" i="2"/>
  <c r="H813" i="2"/>
  <c r="H812" i="2"/>
  <c r="H811" i="2"/>
  <c r="H810" i="2"/>
  <c r="H808" i="2"/>
  <c r="H806" i="2"/>
  <c r="H804" i="2"/>
  <c r="H802" i="2"/>
  <c r="H801" i="2"/>
  <c r="H797" i="2"/>
  <c r="H796" i="2"/>
  <c r="H795" i="2"/>
  <c r="H794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6" i="2"/>
  <c r="H764" i="2"/>
  <c r="H762" i="2"/>
  <c r="H760" i="2"/>
  <c r="H759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4" i="2"/>
  <c r="H722" i="2"/>
  <c r="H720" i="2"/>
  <c r="H718" i="2"/>
  <c r="H717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2" i="2"/>
  <c r="H680" i="2"/>
  <c r="H678" i="2"/>
  <c r="H676" i="2"/>
  <c r="H675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0" i="2"/>
  <c r="H638" i="2"/>
  <c r="H636" i="2"/>
  <c r="H634" i="2"/>
  <c r="H633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8" i="2"/>
  <c r="H596" i="2"/>
  <c r="H594" i="2"/>
  <c r="H592" i="2"/>
  <c r="H591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4" i="2"/>
  <c r="H512" i="2"/>
  <c r="H510" i="2"/>
  <c r="H508" i="2"/>
  <c r="H507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2" i="2"/>
  <c r="H470" i="2"/>
  <c r="H468" i="2"/>
  <c r="H466" i="2"/>
  <c r="H465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0" i="2"/>
  <c r="H428" i="2"/>
  <c r="H426" i="2"/>
  <c r="H424" i="2"/>
  <c r="H423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8" i="2"/>
  <c r="H386" i="2"/>
  <c r="H384" i="2"/>
  <c r="H382" i="2"/>
  <c r="H381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6" i="2"/>
  <c r="H344" i="2"/>
  <c r="H342" i="2"/>
  <c r="H340" i="2"/>
  <c r="H339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4" i="2"/>
  <c r="H302" i="2"/>
  <c r="H300" i="2"/>
  <c r="H298" i="2"/>
  <c r="H297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2" i="2"/>
  <c r="H260" i="2"/>
  <c r="H258" i="2"/>
  <c r="H256" i="2"/>
  <c r="H255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0" i="2"/>
  <c r="H218" i="2"/>
  <c r="H216" i="2"/>
  <c r="H214" i="2"/>
  <c r="H213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8" i="2"/>
  <c r="H176" i="2"/>
  <c r="H174" i="2"/>
  <c r="H172" i="2"/>
  <c r="H171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6" i="2"/>
  <c r="H134" i="2"/>
  <c r="H132" i="2"/>
  <c r="H130" i="2"/>
  <c r="H129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4" i="2"/>
  <c r="H92" i="2"/>
  <c r="H90" i="2"/>
  <c r="H88" i="2"/>
  <c r="H87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2" i="2"/>
  <c r="H50" i="2"/>
  <c r="H48" i="2"/>
  <c r="H46" i="2"/>
  <c r="H45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0" i="2"/>
  <c r="H8" i="2"/>
  <c r="H6" i="2"/>
  <c r="H4" i="2"/>
  <c r="H3" i="2"/>
  <c r="G1385" i="2"/>
  <c r="G1384" i="2"/>
  <c r="G1383" i="2"/>
  <c r="G1382" i="2"/>
  <c r="G1381" i="2"/>
  <c r="G1380" i="2"/>
  <c r="G1379" i="2"/>
  <c r="G1378" i="2"/>
  <c r="G1377" i="2"/>
  <c r="G1376" i="2"/>
  <c r="G1375" i="2"/>
  <c r="G1374" i="2"/>
  <c r="G1373" i="2"/>
  <c r="G1372" i="2"/>
  <c r="G1371" i="2"/>
  <c r="G1370" i="2"/>
  <c r="G1369" i="2"/>
  <c r="G1368" i="2"/>
  <c r="G1367" i="2"/>
  <c r="G1366" i="2"/>
  <c r="G1365" i="2"/>
  <c r="G1364" i="2"/>
  <c r="G1363" i="2"/>
  <c r="G1362" i="2"/>
  <c r="G1361" i="2"/>
  <c r="G1360" i="2"/>
  <c r="G1359" i="2"/>
  <c r="G1358" i="2"/>
  <c r="G1357" i="2"/>
  <c r="G1356" i="2"/>
  <c r="G1354" i="2"/>
  <c r="G1352" i="2"/>
  <c r="G1350" i="2"/>
  <c r="G1348" i="2"/>
  <c r="G1347" i="2"/>
  <c r="G1343" i="2"/>
  <c r="G1342" i="2"/>
  <c r="G1341" i="2"/>
  <c r="G1340" i="2"/>
  <c r="G1339" i="2"/>
  <c r="G1338" i="2"/>
  <c r="G1337" i="2"/>
  <c r="G1336" i="2"/>
  <c r="G1335" i="2"/>
  <c r="G1334" i="2"/>
  <c r="G1333" i="2"/>
  <c r="G1332" i="2"/>
  <c r="G1331" i="2"/>
  <c r="G1330" i="2"/>
  <c r="G1329" i="2"/>
  <c r="G1328" i="2"/>
  <c r="G1327" i="2"/>
  <c r="G1326" i="2"/>
  <c r="G1325" i="2"/>
  <c r="G1324" i="2"/>
  <c r="G1323" i="2"/>
  <c r="G1322" i="2"/>
  <c r="G1321" i="2"/>
  <c r="G1320" i="2"/>
  <c r="G1319" i="2"/>
  <c r="G1318" i="2"/>
  <c r="G1317" i="2"/>
  <c r="G1316" i="2"/>
  <c r="G1315" i="2"/>
  <c r="G1314" i="2"/>
  <c r="G1312" i="2"/>
  <c r="G1310" i="2"/>
  <c r="G1308" i="2"/>
  <c r="G1306" i="2"/>
  <c r="G1305" i="2"/>
  <c r="G1301" i="2"/>
  <c r="G1300" i="2"/>
  <c r="G1299" i="2"/>
  <c r="G1298" i="2"/>
  <c r="G1297" i="2"/>
  <c r="G1296" i="2"/>
  <c r="G1295" i="2"/>
  <c r="G1294" i="2"/>
  <c r="G1293" i="2"/>
  <c r="G1292" i="2"/>
  <c r="G1291" i="2"/>
  <c r="G1290" i="2"/>
  <c r="G1289" i="2"/>
  <c r="G1288" i="2"/>
  <c r="G1287" i="2"/>
  <c r="G1286" i="2"/>
  <c r="G1285" i="2"/>
  <c r="G1284" i="2"/>
  <c r="G1283" i="2"/>
  <c r="G1282" i="2"/>
  <c r="G1281" i="2"/>
  <c r="G1280" i="2"/>
  <c r="G1279" i="2"/>
  <c r="G1278" i="2"/>
  <c r="G1277" i="2"/>
  <c r="G1276" i="2"/>
  <c r="G1275" i="2"/>
  <c r="G1274" i="2"/>
  <c r="G1273" i="2"/>
  <c r="G1272" i="2"/>
  <c r="G1270" i="2"/>
  <c r="G1268" i="2"/>
  <c r="G1266" i="2"/>
  <c r="G1264" i="2"/>
  <c r="G1263" i="2"/>
  <c r="G1259" i="2"/>
  <c r="G1258" i="2"/>
  <c r="G1257" i="2"/>
  <c r="G1256" i="2"/>
  <c r="G1255" i="2"/>
  <c r="G1254" i="2"/>
  <c r="G1253" i="2"/>
  <c r="G1252" i="2"/>
  <c r="G1251" i="2"/>
  <c r="G1250" i="2"/>
  <c r="G1249" i="2"/>
  <c r="G1248" i="2"/>
  <c r="G1247" i="2"/>
  <c r="G1246" i="2"/>
  <c r="G1245" i="2"/>
  <c r="G1244" i="2"/>
  <c r="G1243" i="2"/>
  <c r="G1242" i="2"/>
  <c r="G1241" i="2"/>
  <c r="G1240" i="2"/>
  <c r="G1239" i="2"/>
  <c r="G1238" i="2"/>
  <c r="G1237" i="2"/>
  <c r="G1236" i="2"/>
  <c r="G1235" i="2"/>
  <c r="G1234" i="2"/>
  <c r="G1233" i="2"/>
  <c r="G1232" i="2"/>
  <c r="G1231" i="2"/>
  <c r="G1230" i="2"/>
  <c r="G1228" i="2"/>
  <c r="G1226" i="2"/>
  <c r="G1224" i="2"/>
  <c r="G1222" i="2"/>
  <c r="G1221" i="2"/>
  <c r="G1217" i="2"/>
  <c r="G1216" i="2"/>
  <c r="G1215" i="2"/>
  <c r="G1214" i="2"/>
  <c r="G1213" i="2"/>
  <c r="G1212" i="2"/>
  <c r="G1211" i="2"/>
  <c r="G1210" i="2"/>
  <c r="G1209" i="2"/>
  <c r="G1208" i="2"/>
  <c r="G1207" i="2"/>
  <c r="G1206" i="2"/>
  <c r="G1205" i="2"/>
  <c r="G1204" i="2"/>
  <c r="G1203" i="2"/>
  <c r="G1202" i="2"/>
  <c r="G1201" i="2"/>
  <c r="G1200" i="2"/>
  <c r="G1199" i="2"/>
  <c r="G1198" i="2"/>
  <c r="G1197" i="2"/>
  <c r="G1196" i="2"/>
  <c r="G1195" i="2"/>
  <c r="G1194" i="2"/>
  <c r="G1193" i="2"/>
  <c r="G1192" i="2"/>
  <c r="G1191" i="2"/>
  <c r="G1190" i="2"/>
  <c r="G1189" i="2"/>
  <c r="G1188" i="2"/>
  <c r="G1186" i="2"/>
  <c r="G1184" i="2"/>
  <c r="G1182" i="2"/>
  <c r="G1180" i="2"/>
  <c r="G1179" i="2"/>
  <c r="G1175" i="2"/>
  <c r="G1174" i="2"/>
  <c r="G1173" i="2"/>
  <c r="G1172" i="2"/>
  <c r="G1171" i="2"/>
  <c r="G1170" i="2"/>
  <c r="G1169" i="2"/>
  <c r="G1168" i="2"/>
  <c r="G1167" i="2"/>
  <c r="G1166" i="2"/>
  <c r="G1165" i="2"/>
  <c r="G1164" i="2"/>
  <c r="G1163" i="2"/>
  <c r="G1162" i="2"/>
  <c r="G1161" i="2"/>
  <c r="G1160" i="2"/>
  <c r="G1159" i="2"/>
  <c r="G1158" i="2"/>
  <c r="G1157" i="2"/>
  <c r="G1156" i="2"/>
  <c r="G1155" i="2"/>
  <c r="G1154" i="2"/>
  <c r="G1153" i="2"/>
  <c r="G1152" i="2"/>
  <c r="G1151" i="2"/>
  <c r="G1150" i="2"/>
  <c r="G1149" i="2"/>
  <c r="G1148" i="2"/>
  <c r="G1147" i="2"/>
  <c r="G1146" i="2"/>
  <c r="G1144" i="2"/>
  <c r="G1142" i="2"/>
  <c r="G1140" i="2"/>
  <c r="G1138" i="2"/>
  <c r="G1137" i="2"/>
  <c r="G1133" i="2"/>
  <c r="G1132" i="2"/>
  <c r="G1131" i="2"/>
  <c r="G1130" i="2"/>
  <c r="G1129" i="2"/>
  <c r="G1128" i="2"/>
  <c r="G1127" i="2"/>
  <c r="G1126" i="2"/>
  <c r="G1125" i="2"/>
  <c r="G1124" i="2"/>
  <c r="G1123" i="2"/>
  <c r="G1122" i="2"/>
  <c r="G1121" i="2"/>
  <c r="G1120" i="2"/>
  <c r="G1119" i="2"/>
  <c r="G1118" i="2"/>
  <c r="G1117" i="2"/>
  <c r="G1116" i="2"/>
  <c r="G1115" i="2"/>
  <c r="G1114" i="2"/>
  <c r="G1113" i="2"/>
  <c r="G1112" i="2"/>
  <c r="G1111" i="2"/>
  <c r="G1110" i="2"/>
  <c r="G1109" i="2"/>
  <c r="G1108" i="2"/>
  <c r="G1107" i="2"/>
  <c r="G1106" i="2"/>
  <c r="G1105" i="2"/>
  <c r="G1104" i="2"/>
  <c r="G1102" i="2"/>
  <c r="G1100" i="2"/>
  <c r="G1098" i="2"/>
  <c r="G1096" i="2"/>
  <c r="G1095" i="2"/>
  <c r="G1091" i="2"/>
  <c r="G1090" i="2"/>
  <c r="G1089" i="2"/>
  <c r="G1088" i="2"/>
  <c r="G1087" i="2"/>
  <c r="G1086" i="2"/>
  <c r="G1085" i="2"/>
  <c r="G1084" i="2"/>
  <c r="G1083" i="2"/>
  <c r="G1082" i="2"/>
  <c r="G1081" i="2"/>
  <c r="G1080" i="2"/>
  <c r="G1079" i="2"/>
  <c r="G1078" i="2"/>
  <c r="G1077" i="2"/>
  <c r="G1076" i="2"/>
  <c r="G1075" i="2"/>
  <c r="G1074" i="2"/>
  <c r="G1073" i="2"/>
  <c r="G1072" i="2"/>
  <c r="G1071" i="2"/>
  <c r="G1070" i="2"/>
  <c r="G1069" i="2"/>
  <c r="G1068" i="2"/>
  <c r="G1067" i="2"/>
  <c r="G1066" i="2"/>
  <c r="G1065" i="2"/>
  <c r="G1064" i="2"/>
  <c r="G1063" i="2"/>
  <c r="G1062" i="2"/>
  <c r="G1060" i="2"/>
  <c r="G1058" i="2"/>
  <c r="G1056" i="2"/>
  <c r="G1054" i="2"/>
  <c r="G1053" i="2"/>
  <c r="G1049" i="2"/>
  <c r="G1048" i="2"/>
  <c r="G1047" i="2"/>
  <c r="G1046" i="2"/>
  <c r="G1045" i="2"/>
  <c r="G1044" i="2"/>
  <c r="G1043" i="2"/>
  <c r="G1042" i="2"/>
  <c r="G1041" i="2"/>
  <c r="G1040" i="2"/>
  <c r="G1039" i="2"/>
  <c r="G1038" i="2"/>
  <c r="G1037" i="2"/>
  <c r="G1036" i="2"/>
  <c r="G1035" i="2"/>
  <c r="G1034" i="2"/>
  <c r="G1033" i="2"/>
  <c r="G1032" i="2"/>
  <c r="G1031" i="2"/>
  <c r="G1030" i="2"/>
  <c r="G1029" i="2"/>
  <c r="G1028" i="2"/>
  <c r="G1027" i="2"/>
  <c r="G1026" i="2"/>
  <c r="G1025" i="2"/>
  <c r="G1024" i="2"/>
  <c r="G1023" i="2"/>
  <c r="G1022" i="2"/>
  <c r="G1021" i="2"/>
  <c r="G1020" i="2"/>
  <c r="G1018" i="2"/>
  <c r="G1016" i="2"/>
  <c r="G1014" i="2"/>
  <c r="G1012" i="2"/>
  <c r="G1011" i="2"/>
  <c r="G1007" i="2"/>
  <c r="G1006" i="2"/>
  <c r="G1005" i="2"/>
  <c r="G1004" i="2"/>
  <c r="G1003" i="2"/>
  <c r="G1002" i="2"/>
  <c r="G1001" i="2"/>
  <c r="G1000" i="2"/>
  <c r="G999" i="2"/>
  <c r="G998" i="2"/>
  <c r="G997" i="2"/>
  <c r="G996" i="2"/>
  <c r="G995" i="2"/>
  <c r="G994" i="2"/>
  <c r="G993" i="2"/>
  <c r="G992" i="2"/>
  <c r="G991" i="2"/>
  <c r="G990" i="2"/>
  <c r="G989" i="2"/>
  <c r="G988" i="2"/>
  <c r="G987" i="2"/>
  <c r="G986" i="2"/>
  <c r="G985" i="2"/>
  <c r="G984" i="2"/>
  <c r="G983" i="2"/>
  <c r="G982" i="2"/>
  <c r="G981" i="2"/>
  <c r="G980" i="2"/>
  <c r="G979" i="2"/>
  <c r="G978" i="2"/>
  <c r="G976" i="2"/>
  <c r="G974" i="2"/>
  <c r="G972" i="2"/>
  <c r="G970" i="2"/>
  <c r="G969" i="2"/>
  <c r="G965" i="2"/>
  <c r="G964" i="2"/>
  <c r="G963" i="2"/>
  <c r="G962" i="2"/>
  <c r="G961" i="2"/>
  <c r="G960" i="2"/>
  <c r="G959" i="2"/>
  <c r="G958" i="2"/>
  <c r="G957" i="2"/>
  <c r="G956" i="2"/>
  <c r="G955" i="2"/>
  <c r="G954" i="2"/>
  <c r="G953" i="2"/>
  <c r="G952" i="2"/>
  <c r="G951" i="2"/>
  <c r="G950" i="2"/>
  <c r="G949" i="2"/>
  <c r="G948" i="2"/>
  <c r="G947" i="2"/>
  <c r="G946" i="2"/>
  <c r="G945" i="2"/>
  <c r="G944" i="2"/>
  <c r="G943" i="2"/>
  <c r="G942" i="2"/>
  <c r="G941" i="2"/>
  <c r="G940" i="2"/>
  <c r="G939" i="2"/>
  <c r="G938" i="2"/>
  <c r="G937" i="2"/>
  <c r="G936" i="2"/>
  <c r="G934" i="2"/>
  <c r="G932" i="2"/>
  <c r="G930" i="2"/>
  <c r="G928" i="2"/>
  <c r="G927" i="2"/>
  <c r="G923" i="2"/>
  <c r="G922" i="2"/>
  <c r="G921" i="2"/>
  <c r="G920" i="2"/>
  <c r="G919" i="2"/>
  <c r="G918" i="2"/>
  <c r="G917" i="2"/>
  <c r="G916" i="2"/>
  <c r="G915" i="2"/>
  <c r="G914" i="2"/>
  <c r="G913" i="2"/>
  <c r="G912" i="2"/>
  <c r="G911" i="2"/>
  <c r="G910" i="2"/>
  <c r="G909" i="2"/>
  <c r="G908" i="2"/>
  <c r="G907" i="2"/>
  <c r="G906" i="2"/>
  <c r="G905" i="2"/>
  <c r="G904" i="2"/>
  <c r="G903" i="2"/>
  <c r="G902" i="2"/>
  <c r="G901" i="2"/>
  <c r="G900" i="2"/>
  <c r="G899" i="2"/>
  <c r="G898" i="2"/>
  <c r="G897" i="2"/>
  <c r="G896" i="2"/>
  <c r="G895" i="2"/>
  <c r="G894" i="2"/>
  <c r="G892" i="2"/>
  <c r="G890" i="2"/>
  <c r="G888" i="2"/>
  <c r="G886" i="2"/>
  <c r="G885" i="2"/>
  <c r="G881" i="2"/>
  <c r="G880" i="2"/>
  <c r="G879" i="2"/>
  <c r="G878" i="2"/>
  <c r="G877" i="2"/>
  <c r="G876" i="2"/>
  <c r="G875" i="2"/>
  <c r="G874" i="2"/>
  <c r="G873" i="2"/>
  <c r="G872" i="2"/>
  <c r="G871" i="2"/>
  <c r="G870" i="2"/>
  <c r="G869" i="2"/>
  <c r="G868" i="2"/>
  <c r="G867" i="2"/>
  <c r="G866" i="2"/>
  <c r="G865" i="2"/>
  <c r="G864" i="2"/>
  <c r="G863" i="2"/>
  <c r="G862" i="2"/>
  <c r="G861" i="2"/>
  <c r="G860" i="2"/>
  <c r="G859" i="2"/>
  <c r="G858" i="2"/>
  <c r="G857" i="2"/>
  <c r="G856" i="2"/>
  <c r="G855" i="2"/>
  <c r="G854" i="2"/>
  <c r="G853" i="2"/>
  <c r="G852" i="2"/>
  <c r="G850" i="2"/>
  <c r="G848" i="2"/>
  <c r="G846" i="2"/>
  <c r="G844" i="2"/>
  <c r="G843" i="2"/>
  <c r="G839" i="2"/>
  <c r="G838" i="2"/>
  <c r="G837" i="2"/>
  <c r="G836" i="2"/>
  <c r="G835" i="2"/>
  <c r="G834" i="2"/>
  <c r="G833" i="2"/>
  <c r="G832" i="2"/>
  <c r="G831" i="2"/>
  <c r="G830" i="2"/>
  <c r="G829" i="2"/>
  <c r="G828" i="2"/>
  <c r="G827" i="2"/>
  <c r="G826" i="2"/>
  <c r="G825" i="2"/>
  <c r="G824" i="2"/>
  <c r="G823" i="2"/>
  <c r="G822" i="2"/>
  <c r="G821" i="2"/>
  <c r="G820" i="2"/>
  <c r="G819" i="2"/>
  <c r="G818" i="2"/>
  <c r="G817" i="2"/>
  <c r="G816" i="2"/>
  <c r="G815" i="2"/>
  <c r="G814" i="2"/>
  <c r="G813" i="2"/>
  <c r="G812" i="2"/>
  <c r="G811" i="2"/>
  <c r="G810" i="2"/>
  <c r="G808" i="2"/>
  <c r="G806" i="2"/>
  <c r="G804" i="2"/>
  <c r="G802" i="2"/>
  <c r="G801" i="2"/>
  <c r="G797" i="2"/>
  <c r="G796" i="2"/>
  <c r="G795" i="2"/>
  <c r="G794" i="2"/>
  <c r="G793" i="2"/>
  <c r="G792" i="2"/>
  <c r="G791" i="2"/>
  <c r="G790" i="2"/>
  <c r="G789" i="2"/>
  <c r="G788" i="2"/>
  <c r="G787" i="2"/>
  <c r="G786" i="2"/>
  <c r="G785" i="2"/>
  <c r="G784" i="2"/>
  <c r="G783" i="2"/>
  <c r="G782" i="2"/>
  <c r="G781" i="2"/>
  <c r="G780" i="2"/>
  <c r="G779" i="2"/>
  <c r="G778" i="2"/>
  <c r="G777" i="2"/>
  <c r="G776" i="2"/>
  <c r="G775" i="2"/>
  <c r="G774" i="2"/>
  <c r="G773" i="2"/>
  <c r="G772" i="2"/>
  <c r="G771" i="2"/>
  <c r="G770" i="2"/>
  <c r="G769" i="2"/>
  <c r="G768" i="2"/>
  <c r="G766" i="2"/>
  <c r="G764" i="2"/>
  <c r="G762" i="2"/>
  <c r="G760" i="2"/>
  <c r="G759" i="2"/>
  <c r="G755" i="2"/>
  <c r="G754" i="2"/>
  <c r="G753" i="2"/>
  <c r="G752" i="2"/>
  <c r="G751" i="2"/>
  <c r="G750" i="2"/>
  <c r="G749" i="2"/>
  <c r="G748" i="2"/>
  <c r="G747" i="2"/>
  <c r="G746" i="2"/>
  <c r="G745" i="2"/>
  <c r="G744" i="2"/>
  <c r="G743" i="2"/>
  <c r="G742" i="2"/>
  <c r="G741" i="2"/>
  <c r="G740" i="2"/>
  <c r="G739" i="2"/>
  <c r="G738" i="2"/>
  <c r="G737" i="2"/>
  <c r="G736" i="2"/>
  <c r="G735" i="2"/>
  <c r="G734" i="2"/>
  <c r="G733" i="2"/>
  <c r="G732" i="2"/>
  <c r="G731" i="2"/>
  <c r="G730" i="2"/>
  <c r="G729" i="2"/>
  <c r="G728" i="2"/>
  <c r="G727" i="2"/>
  <c r="G726" i="2"/>
  <c r="G724" i="2"/>
  <c r="G722" i="2"/>
  <c r="G720" i="2"/>
  <c r="G718" i="2"/>
  <c r="G717" i="2"/>
  <c r="G713" i="2"/>
  <c r="G712" i="2"/>
  <c r="G711" i="2"/>
  <c r="G710" i="2"/>
  <c r="G709" i="2"/>
  <c r="G708" i="2"/>
  <c r="G707" i="2"/>
  <c r="G706" i="2"/>
  <c r="G705" i="2"/>
  <c r="G704" i="2"/>
  <c r="G703" i="2"/>
  <c r="G702" i="2"/>
  <c r="G701" i="2"/>
  <c r="G700" i="2"/>
  <c r="G699" i="2"/>
  <c r="G698" i="2"/>
  <c r="G697" i="2"/>
  <c r="G696" i="2"/>
  <c r="G695" i="2"/>
  <c r="G694" i="2"/>
  <c r="G693" i="2"/>
  <c r="G692" i="2"/>
  <c r="G691" i="2"/>
  <c r="G690" i="2"/>
  <c r="G689" i="2"/>
  <c r="G688" i="2"/>
  <c r="G687" i="2"/>
  <c r="G686" i="2"/>
  <c r="G685" i="2"/>
  <c r="G684" i="2"/>
  <c r="G682" i="2"/>
  <c r="G680" i="2"/>
  <c r="G678" i="2"/>
  <c r="G676" i="2"/>
  <c r="G675" i="2"/>
  <c r="G671" i="2"/>
  <c r="G670" i="2"/>
  <c r="G669" i="2"/>
  <c r="G668" i="2"/>
  <c r="G667" i="2"/>
  <c r="G666" i="2"/>
  <c r="G665" i="2"/>
  <c r="G664" i="2"/>
  <c r="G663" i="2"/>
  <c r="G662" i="2"/>
  <c r="G661" i="2"/>
  <c r="G660" i="2"/>
  <c r="G659" i="2"/>
  <c r="G658" i="2"/>
  <c r="G657" i="2"/>
  <c r="G656" i="2"/>
  <c r="G655" i="2"/>
  <c r="G654" i="2"/>
  <c r="G653" i="2"/>
  <c r="G652" i="2"/>
  <c r="G651" i="2"/>
  <c r="G650" i="2"/>
  <c r="G649" i="2"/>
  <c r="G648" i="2"/>
  <c r="G647" i="2"/>
  <c r="G646" i="2"/>
  <c r="G645" i="2"/>
  <c r="G644" i="2"/>
  <c r="G643" i="2"/>
  <c r="G642" i="2"/>
  <c r="G640" i="2"/>
  <c r="G638" i="2"/>
  <c r="G636" i="2"/>
  <c r="G634" i="2"/>
  <c r="G633" i="2"/>
  <c r="G629" i="2"/>
  <c r="G628" i="2"/>
  <c r="G627" i="2"/>
  <c r="G626" i="2"/>
  <c r="G625" i="2"/>
  <c r="G624" i="2"/>
  <c r="G623" i="2"/>
  <c r="G622" i="2"/>
  <c r="G621" i="2"/>
  <c r="G620" i="2"/>
  <c r="G619" i="2"/>
  <c r="G618" i="2"/>
  <c r="G617" i="2"/>
  <c r="G616" i="2"/>
  <c r="G615" i="2"/>
  <c r="G614" i="2"/>
  <c r="G613" i="2"/>
  <c r="G612" i="2"/>
  <c r="G611" i="2"/>
  <c r="G610" i="2"/>
  <c r="G609" i="2"/>
  <c r="G608" i="2"/>
  <c r="G607" i="2"/>
  <c r="G606" i="2"/>
  <c r="G605" i="2"/>
  <c r="G604" i="2"/>
  <c r="G603" i="2"/>
  <c r="G602" i="2"/>
  <c r="G601" i="2"/>
  <c r="G600" i="2"/>
  <c r="G598" i="2"/>
  <c r="G596" i="2"/>
  <c r="G594" i="2"/>
  <c r="G592" i="2"/>
  <c r="G591" i="2"/>
  <c r="G545" i="2"/>
  <c r="G544" i="2"/>
  <c r="G543" i="2"/>
  <c r="G542" i="2"/>
  <c r="G541" i="2"/>
  <c r="G540" i="2"/>
  <c r="G539" i="2"/>
  <c r="G538" i="2"/>
  <c r="G537" i="2"/>
  <c r="G536" i="2"/>
  <c r="G535" i="2"/>
  <c r="G534" i="2"/>
  <c r="G533" i="2"/>
  <c r="G532" i="2"/>
  <c r="G531" i="2"/>
  <c r="G530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4" i="2"/>
  <c r="G512" i="2"/>
  <c r="G510" i="2"/>
  <c r="G508" i="2"/>
  <c r="G507" i="2"/>
  <c r="G503" i="2"/>
  <c r="G502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2" i="2"/>
  <c r="G470" i="2"/>
  <c r="G468" i="2"/>
  <c r="G466" i="2"/>
  <c r="G465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0" i="2"/>
  <c r="G428" i="2"/>
  <c r="G426" i="2"/>
  <c r="G424" i="2"/>
  <c r="G423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8" i="2"/>
  <c r="G386" i="2"/>
  <c r="G384" i="2"/>
  <c r="G382" i="2"/>
  <c r="G381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6" i="2"/>
  <c r="G344" i="2"/>
  <c r="G342" i="2"/>
  <c r="G340" i="2"/>
  <c r="G339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4" i="2"/>
  <c r="G302" i="2"/>
  <c r="G300" i="2"/>
  <c r="G298" i="2"/>
  <c r="G297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2" i="2"/>
  <c r="G260" i="2"/>
  <c r="G258" i="2"/>
  <c r="G256" i="2"/>
  <c r="G255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0" i="2"/>
  <c r="G218" i="2"/>
  <c r="G216" i="2"/>
  <c r="G214" i="2"/>
  <c r="G213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8" i="2"/>
  <c r="G176" i="2"/>
  <c r="G174" i="2"/>
  <c r="G172" i="2"/>
  <c r="G171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6" i="2"/>
  <c r="G134" i="2"/>
  <c r="G132" i="2"/>
  <c r="G130" i="2"/>
  <c r="G129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4" i="2"/>
  <c r="G92" i="2"/>
  <c r="G90" i="2"/>
  <c r="G88" i="2"/>
  <c r="G87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2" i="2"/>
  <c r="G50" i="2"/>
  <c r="G48" i="2"/>
  <c r="G46" i="2"/>
  <c r="G45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0" i="2"/>
  <c r="G8" i="2"/>
  <c r="G6" i="2"/>
  <c r="G4" i="2"/>
  <c r="G3" i="2"/>
  <c r="F1385" i="2"/>
  <c r="F1384" i="2"/>
  <c r="F1383" i="2"/>
  <c r="F1382" i="2"/>
  <c r="F1381" i="2"/>
  <c r="F1380" i="2"/>
  <c r="F1379" i="2"/>
  <c r="F1378" i="2"/>
  <c r="F1377" i="2"/>
  <c r="F1376" i="2"/>
  <c r="F1375" i="2"/>
  <c r="F1374" i="2"/>
  <c r="F1373" i="2"/>
  <c r="F1372" i="2"/>
  <c r="F1371" i="2"/>
  <c r="F1370" i="2"/>
  <c r="F1369" i="2"/>
  <c r="F1368" i="2"/>
  <c r="F1367" i="2"/>
  <c r="F1366" i="2"/>
  <c r="F1365" i="2"/>
  <c r="F1364" i="2"/>
  <c r="F1363" i="2"/>
  <c r="F1362" i="2"/>
  <c r="F1361" i="2"/>
  <c r="F1360" i="2"/>
  <c r="F1359" i="2"/>
  <c r="F1358" i="2"/>
  <c r="F1357" i="2"/>
  <c r="F1356" i="2"/>
  <c r="F1354" i="2"/>
  <c r="F1352" i="2"/>
  <c r="F1350" i="2"/>
  <c r="F1348" i="2"/>
  <c r="F1347" i="2"/>
  <c r="F1343" i="2"/>
  <c r="F1342" i="2"/>
  <c r="F1341" i="2"/>
  <c r="F1340" i="2"/>
  <c r="F1339" i="2"/>
  <c r="F1338" i="2"/>
  <c r="F1337" i="2"/>
  <c r="F1336" i="2"/>
  <c r="F1335" i="2"/>
  <c r="F1334" i="2"/>
  <c r="F1333" i="2"/>
  <c r="F1332" i="2"/>
  <c r="F1331" i="2"/>
  <c r="F1330" i="2"/>
  <c r="F1329" i="2"/>
  <c r="F1328" i="2"/>
  <c r="F1327" i="2"/>
  <c r="F1326" i="2"/>
  <c r="F1325" i="2"/>
  <c r="F1324" i="2"/>
  <c r="F1323" i="2"/>
  <c r="F1322" i="2"/>
  <c r="F1321" i="2"/>
  <c r="F1320" i="2"/>
  <c r="F1319" i="2"/>
  <c r="F1318" i="2"/>
  <c r="F1317" i="2"/>
  <c r="F1316" i="2"/>
  <c r="F1315" i="2"/>
  <c r="F1314" i="2"/>
  <c r="F1312" i="2"/>
  <c r="F1310" i="2"/>
  <c r="F1308" i="2"/>
  <c r="F1306" i="2"/>
  <c r="F1305" i="2"/>
  <c r="F1301" i="2"/>
  <c r="F1300" i="2"/>
  <c r="F1299" i="2"/>
  <c r="F1298" i="2"/>
  <c r="F1297" i="2"/>
  <c r="F1296" i="2"/>
  <c r="F1295" i="2"/>
  <c r="F1294" i="2"/>
  <c r="F1293" i="2"/>
  <c r="F1292" i="2"/>
  <c r="F1291" i="2"/>
  <c r="F1290" i="2"/>
  <c r="F1289" i="2"/>
  <c r="F1288" i="2"/>
  <c r="F1287" i="2"/>
  <c r="F1286" i="2"/>
  <c r="F1285" i="2"/>
  <c r="F1284" i="2"/>
  <c r="F1283" i="2"/>
  <c r="F1282" i="2"/>
  <c r="F1281" i="2"/>
  <c r="F1280" i="2"/>
  <c r="F1279" i="2"/>
  <c r="F1278" i="2"/>
  <c r="F1277" i="2"/>
  <c r="F1276" i="2"/>
  <c r="F1275" i="2"/>
  <c r="F1274" i="2"/>
  <c r="F1273" i="2"/>
  <c r="F1272" i="2"/>
  <c r="F1270" i="2"/>
  <c r="F1268" i="2"/>
  <c r="F1266" i="2"/>
  <c r="F1264" i="2"/>
  <c r="F1263" i="2"/>
  <c r="F1259" i="2"/>
  <c r="F1258" i="2"/>
  <c r="F1257" i="2"/>
  <c r="F1256" i="2"/>
  <c r="F1255" i="2"/>
  <c r="F1254" i="2"/>
  <c r="F1253" i="2"/>
  <c r="F1252" i="2"/>
  <c r="F1251" i="2"/>
  <c r="F1250" i="2"/>
  <c r="F1249" i="2"/>
  <c r="F1248" i="2"/>
  <c r="F1247" i="2"/>
  <c r="F1246" i="2"/>
  <c r="F1245" i="2"/>
  <c r="F1244" i="2"/>
  <c r="F1243" i="2"/>
  <c r="F1242" i="2"/>
  <c r="F1241" i="2"/>
  <c r="F1240" i="2"/>
  <c r="F1239" i="2"/>
  <c r="F1238" i="2"/>
  <c r="F1237" i="2"/>
  <c r="F1236" i="2"/>
  <c r="F1235" i="2"/>
  <c r="F1234" i="2"/>
  <c r="F1233" i="2"/>
  <c r="F1232" i="2"/>
  <c r="F1231" i="2"/>
  <c r="F1230" i="2"/>
  <c r="F1228" i="2"/>
  <c r="F1226" i="2"/>
  <c r="F1224" i="2"/>
  <c r="F1222" i="2"/>
  <c r="F1221" i="2"/>
  <c r="F1217" i="2"/>
  <c r="F1216" i="2"/>
  <c r="F1215" i="2"/>
  <c r="F1214" i="2"/>
  <c r="F1213" i="2"/>
  <c r="F1212" i="2"/>
  <c r="F1211" i="2"/>
  <c r="F1210" i="2"/>
  <c r="F1209" i="2"/>
  <c r="F1208" i="2"/>
  <c r="F1207" i="2"/>
  <c r="F1206" i="2"/>
  <c r="F1205" i="2"/>
  <c r="F1204" i="2"/>
  <c r="F1203" i="2"/>
  <c r="F1202" i="2"/>
  <c r="F1201" i="2"/>
  <c r="F1200" i="2"/>
  <c r="F1199" i="2"/>
  <c r="F1198" i="2"/>
  <c r="F1197" i="2"/>
  <c r="F1196" i="2"/>
  <c r="F1195" i="2"/>
  <c r="F1194" i="2"/>
  <c r="F1193" i="2"/>
  <c r="F1192" i="2"/>
  <c r="F1191" i="2"/>
  <c r="F1190" i="2"/>
  <c r="F1189" i="2"/>
  <c r="F1188" i="2"/>
  <c r="F1186" i="2"/>
  <c r="F1184" i="2"/>
  <c r="F1182" i="2"/>
  <c r="F1180" i="2"/>
  <c r="F1179" i="2"/>
  <c r="F1175" i="2"/>
  <c r="F1174" i="2"/>
  <c r="F1173" i="2"/>
  <c r="F1172" i="2"/>
  <c r="F1171" i="2"/>
  <c r="F1170" i="2"/>
  <c r="F1169" i="2"/>
  <c r="F1168" i="2"/>
  <c r="F1167" i="2"/>
  <c r="F1166" i="2"/>
  <c r="F1165" i="2"/>
  <c r="F1164" i="2"/>
  <c r="F1163" i="2"/>
  <c r="F1162" i="2"/>
  <c r="F1161" i="2"/>
  <c r="F1160" i="2"/>
  <c r="F1159" i="2"/>
  <c r="F1158" i="2"/>
  <c r="F1157" i="2"/>
  <c r="F1156" i="2"/>
  <c r="F1155" i="2"/>
  <c r="F1154" i="2"/>
  <c r="F1153" i="2"/>
  <c r="F1152" i="2"/>
  <c r="F1151" i="2"/>
  <c r="F1150" i="2"/>
  <c r="F1149" i="2"/>
  <c r="F1148" i="2"/>
  <c r="F1147" i="2"/>
  <c r="F1146" i="2"/>
  <c r="F1144" i="2"/>
  <c r="F1142" i="2"/>
  <c r="F1140" i="2"/>
  <c r="F1138" i="2"/>
  <c r="F1137" i="2"/>
  <c r="F1133" i="2"/>
  <c r="F1132" i="2"/>
  <c r="F1131" i="2"/>
  <c r="F1130" i="2"/>
  <c r="F1129" i="2"/>
  <c r="F1128" i="2"/>
  <c r="F1127" i="2"/>
  <c r="F1126" i="2"/>
  <c r="F1125" i="2"/>
  <c r="F1124" i="2"/>
  <c r="F1123" i="2"/>
  <c r="F1122" i="2"/>
  <c r="F1121" i="2"/>
  <c r="F1120" i="2"/>
  <c r="F1119" i="2"/>
  <c r="F1118" i="2"/>
  <c r="F1117" i="2"/>
  <c r="F1116" i="2"/>
  <c r="F1115" i="2"/>
  <c r="F1114" i="2"/>
  <c r="F1113" i="2"/>
  <c r="F1112" i="2"/>
  <c r="F1111" i="2"/>
  <c r="F1110" i="2"/>
  <c r="F1109" i="2"/>
  <c r="F1108" i="2"/>
  <c r="F1107" i="2"/>
  <c r="F1106" i="2"/>
  <c r="F1105" i="2"/>
  <c r="F1104" i="2"/>
  <c r="F1102" i="2"/>
  <c r="F1100" i="2"/>
  <c r="F1098" i="2"/>
  <c r="F1096" i="2"/>
  <c r="F1095" i="2"/>
  <c r="F1091" i="2"/>
  <c r="F1090" i="2"/>
  <c r="F1089" i="2"/>
  <c r="F1088" i="2"/>
  <c r="F1087" i="2"/>
  <c r="F1086" i="2"/>
  <c r="F1085" i="2"/>
  <c r="F1084" i="2"/>
  <c r="F1083" i="2"/>
  <c r="F1082" i="2"/>
  <c r="F1081" i="2"/>
  <c r="F1080" i="2"/>
  <c r="F1079" i="2"/>
  <c r="F1078" i="2"/>
  <c r="F1077" i="2"/>
  <c r="F1076" i="2"/>
  <c r="F1075" i="2"/>
  <c r="F1074" i="2"/>
  <c r="F1073" i="2"/>
  <c r="F1072" i="2"/>
  <c r="F1071" i="2"/>
  <c r="F1070" i="2"/>
  <c r="F1069" i="2"/>
  <c r="F1068" i="2"/>
  <c r="F1067" i="2"/>
  <c r="F1066" i="2"/>
  <c r="F1065" i="2"/>
  <c r="F1064" i="2"/>
  <c r="F1063" i="2"/>
  <c r="F1062" i="2"/>
  <c r="F1060" i="2"/>
  <c r="F1058" i="2"/>
  <c r="F1056" i="2"/>
  <c r="F1054" i="2"/>
  <c r="F1053" i="2"/>
  <c r="F1049" i="2"/>
  <c r="F1048" i="2"/>
  <c r="F1047" i="2"/>
  <c r="F1046" i="2"/>
  <c r="F1045" i="2"/>
  <c r="F1044" i="2"/>
  <c r="F1043" i="2"/>
  <c r="F1042" i="2"/>
  <c r="F1041" i="2"/>
  <c r="F1040" i="2"/>
  <c r="F1039" i="2"/>
  <c r="F1038" i="2"/>
  <c r="F1037" i="2"/>
  <c r="F1036" i="2"/>
  <c r="F1035" i="2"/>
  <c r="F1034" i="2"/>
  <c r="F1033" i="2"/>
  <c r="F1032" i="2"/>
  <c r="F1031" i="2"/>
  <c r="F1030" i="2"/>
  <c r="F1029" i="2"/>
  <c r="F1028" i="2"/>
  <c r="F1027" i="2"/>
  <c r="F1026" i="2"/>
  <c r="F1025" i="2"/>
  <c r="F1024" i="2"/>
  <c r="F1023" i="2"/>
  <c r="F1022" i="2"/>
  <c r="F1021" i="2"/>
  <c r="F1020" i="2"/>
  <c r="F1018" i="2"/>
  <c r="F1016" i="2"/>
  <c r="F1014" i="2"/>
  <c r="F1012" i="2"/>
  <c r="F1011" i="2"/>
  <c r="F1007" i="2"/>
  <c r="F1006" i="2"/>
  <c r="F1005" i="2"/>
  <c r="F1004" i="2"/>
  <c r="F1003" i="2"/>
  <c r="F1002" i="2"/>
  <c r="F1001" i="2"/>
  <c r="F1000" i="2"/>
  <c r="F999" i="2"/>
  <c r="F998" i="2"/>
  <c r="F997" i="2"/>
  <c r="F996" i="2"/>
  <c r="F995" i="2"/>
  <c r="F994" i="2"/>
  <c r="F993" i="2"/>
  <c r="F992" i="2"/>
  <c r="F991" i="2"/>
  <c r="F990" i="2"/>
  <c r="F989" i="2"/>
  <c r="F988" i="2"/>
  <c r="F987" i="2"/>
  <c r="F986" i="2"/>
  <c r="F985" i="2"/>
  <c r="F984" i="2"/>
  <c r="F983" i="2"/>
  <c r="F982" i="2"/>
  <c r="F981" i="2"/>
  <c r="F980" i="2"/>
  <c r="F979" i="2"/>
  <c r="F978" i="2"/>
  <c r="F976" i="2"/>
  <c r="F974" i="2"/>
  <c r="F972" i="2"/>
  <c r="F970" i="2"/>
  <c r="F969" i="2"/>
  <c r="F965" i="2"/>
  <c r="F964" i="2"/>
  <c r="F963" i="2"/>
  <c r="F962" i="2"/>
  <c r="F961" i="2"/>
  <c r="F960" i="2"/>
  <c r="F959" i="2"/>
  <c r="F958" i="2"/>
  <c r="F957" i="2"/>
  <c r="F956" i="2"/>
  <c r="F955" i="2"/>
  <c r="F954" i="2"/>
  <c r="F953" i="2"/>
  <c r="F952" i="2"/>
  <c r="F951" i="2"/>
  <c r="F950" i="2"/>
  <c r="F949" i="2"/>
  <c r="F948" i="2"/>
  <c r="F947" i="2"/>
  <c r="F946" i="2"/>
  <c r="F945" i="2"/>
  <c r="F944" i="2"/>
  <c r="F943" i="2"/>
  <c r="F942" i="2"/>
  <c r="F941" i="2"/>
  <c r="F940" i="2"/>
  <c r="F939" i="2"/>
  <c r="F938" i="2"/>
  <c r="F937" i="2"/>
  <c r="F936" i="2"/>
  <c r="F934" i="2"/>
  <c r="F932" i="2"/>
  <c r="F930" i="2"/>
  <c r="F928" i="2"/>
  <c r="F927" i="2"/>
  <c r="F923" i="2"/>
  <c r="F922" i="2"/>
  <c r="F921" i="2"/>
  <c r="F920" i="2"/>
  <c r="F919" i="2"/>
  <c r="F918" i="2"/>
  <c r="F917" i="2"/>
  <c r="F916" i="2"/>
  <c r="F915" i="2"/>
  <c r="F914" i="2"/>
  <c r="F913" i="2"/>
  <c r="F912" i="2"/>
  <c r="F911" i="2"/>
  <c r="F910" i="2"/>
  <c r="F909" i="2"/>
  <c r="F908" i="2"/>
  <c r="F907" i="2"/>
  <c r="F906" i="2"/>
  <c r="F905" i="2"/>
  <c r="F904" i="2"/>
  <c r="F903" i="2"/>
  <c r="F902" i="2"/>
  <c r="F901" i="2"/>
  <c r="F900" i="2"/>
  <c r="F899" i="2"/>
  <c r="F898" i="2"/>
  <c r="F897" i="2"/>
  <c r="F896" i="2"/>
  <c r="F895" i="2"/>
  <c r="F894" i="2"/>
  <c r="F892" i="2"/>
  <c r="F890" i="2"/>
  <c r="F888" i="2"/>
  <c r="F886" i="2"/>
  <c r="F885" i="2"/>
  <c r="F881" i="2"/>
  <c r="F880" i="2"/>
  <c r="F879" i="2"/>
  <c r="F878" i="2"/>
  <c r="F877" i="2"/>
  <c r="F876" i="2"/>
  <c r="F875" i="2"/>
  <c r="F874" i="2"/>
  <c r="F873" i="2"/>
  <c r="F872" i="2"/>
  <c r="F871" i="2"/>
  <c r="F870" i="2"/>
  <c r="F869" i="2"/>
  <c r="F868" i="2"/>
  <c r="F867" i="2"/>
  <c r="F866" i="2"/>
  <c r="F865" i="2"/>
  <c r="F864" i="2"/>
  <c r="F863" i="2"/>
  <c r="F862" i="2"/>
  <c r="F861" i="2"/>
  <c r="F860" i="2"/>
  <c r="F859" i="2"/>
  <c r="F858" i="2"/>
  <c r="F857" i="2"/>
  <c r="F856" i="2"/>
  <c r="F855" i="2"/>
  <c r="F854" i="2"/>
  <c r="F853" i="2"/>
  <c r="F852" i="2"/>
  <c r="F850" i="2"/>
  <c r="F848" i="2"/>
  <c r="F846" i="2"/>
  <c r="F844" i="2"/>
  <c r="F843" i="2"/>
  <c r="F839" i="2"/>
  <c r="F838" i="2"/>
  <c r="F837" i="2"/>
  <c r="F836" i="2"/>
  <c r="F835" i="2"/>
  <c r="F834" i="2"/>
  <c r="F833" i="2"/>
  <c r="F832" i="2"/>
  <c r="F831" i="2"/>
  <c r="F830" i="2"/>
  <c r="F829" i="2"/>
  <c r="F828" i="2"/>
  <c r="F827" i="2"/>
  <c r="F826" i="2"/>
  <c r="F825" i="2"/>
  <c r="F824" i="2"/>
  <c r="F823" i="2"/>
  <c r="F822" i="2"/>
  <c r="F821" i="2"/>
  <c r="F820" i="2"/>
  <c r="F819" i="2"/>
  <c r="F818" i="2"/>
  <c r="F817" i="2"/>
  <c r="F816" i="2"/>
  <c r="F815" i="2"/>
  <c r="F814" i="2"/>
  <c r="F813" i="2"/>
  <c r="F812" i="2"/>
  <c r="F811" i="2"/>
  <c r="F810" i="2"/>
  <c r="F808" i="2"/>
  <c r="F806" i="2"/>
  <c r="F804" i="2"/>
  <c r="F802" i="2"/>
  <c r="F801" i="2"/>
  <c r="F797" i="2"/>
  <c r="F796" i="2"/>
  <c r="F795" i="2"/>
  <c r="F794" i="2"/>
  <c r="F793" i="2"/>
  <c r="F792" i="2"/>
  <c r="F791" i="2"/>
  <c r="F790" i="2"/>
  <c r="F789" i="2"/>
  <c r="F788" i="2"/>
  <c r="F787" i="2"/>
  <c r="F786" i="2"/>
  <c r="F785" i="2"/>
  <c r="F784" i="2"/>
  <c r="F783" i="2"/>
  <c r="F782" i="2"/>
  <c r="F781" i="2"/>
  <c r="F780" i="2"/>
  <c r="F779" i="2"/>
  <c r="F778" i="2"/>
  <c r="F777" i="2"/>
  <c r="F776" i="2"/>
  <c r="F775" i="2"/>
  <c r="F774" i="2"/>
  <c r="F773" i="2"/>
  <c r="F772" i="2"/>
  <c r="F771" i="2"/>
  <c r="F770" i="2"/>
  <c r="F769" i="2"/>
  <c r="F768" i="2"/>
  <c r="F766" i="2"/>
  <c r="F764" i="2"/>
  <c r="F762" i="2"/>
  <c r="F760" i="2"/>
  <c r="F759" i="2"/>
  <c r="F755" i="2"/>
  <c r="F754" i="2"/>
  <c r="F753" i="2"/>
  <c r="F752" i="2"/>
  <c r="F751" i="2"/>
  <c r="F750" i="2"/>
  <c r="F749" i="2"/>
  <c r="F748" i="2"/>
  <c r="F747" i="2"/>
  <c r="F746" i="2"/>
  <c r="F745" i="2"/>
  <c r="F744" i="2"/>
  <c r="F743" i="2"/>
  <c r="F742" i="2"/>
  <c r="F741" i="2"/>
  <c r="F740" i="2"/>
  <c r="F739" i="2"/>
  <c r="F738" i="2"/>
  <c r="F737" i="2"/>
  <c r="F736" i="2"/>
  <c r="F735" i="2"/>
  <c r="F734" i="2"/>
  <c r="F733" i="2"/>
  <c r="F732" i="2"/>
  <c r="F731" i="2"/>
  <c r="F730" i="2"/>
  <c r="F729" i="2"/>
  <c r="F728" i="2"/>
  <c r="F727" i="2"/>
  <c r="F726" i="2"/>
  <c r="F724" i="2"/>
  <c r="F722" i="2"/>
  <c r="F720" i="2"/>
  <c r="F718" i="2"/>
  <c r="F717" i="2"/>
  <c r="F713" i="2"/>
  <c r="F712" i="2"/>
  <c r="F711" i="2"/>
  <c r="F710" i="2"/>
  <c r="F709" i="2"/>
  <c r="F708" i="2"/>
  <c r="F707" i="2"/>
  <c r="F706" i="2"/>
  <c r="F705" i="2"/>
  <c r="F704" i="2"/>
  <c r="F703" i="2"/>
  <c r="F702" i="2"/>
  <c r="F701" i="2"/>
  <c r="F700" i="2"/>
  <c r="F699" i="2"/>
  <c r="F698" i="2"/>
  <c r="F697" i="2"/>
  <c r="F696" i="2"/>
  <c r="F695" i="2"/>
  <c r="F694" i="2"/>
  <c r="F693" i="2"/>
  <c r="F692" i="2"/>
  <c r="F691" i="2"/>
  <c r="F690" i="2"/>
  <c r="F689" i="2"/>
  <c r="F688" i="2"/>
  <c r="F687" i="2"/>
  <c r="F686" i="2"/>
  <c r="F685" i="2"/>
  <c r="F684" i="2"/>
  <c r="F682" i="2"/>
  <c r="F680" i="2"/>
  <c r="F678" i="2"/>
  <c r="F676" i="2"/>
  <c r="F675" i="2"/>
  <c r="F671" i="2"/>
  <c r="F670" i="2"/>
  <c r="F669" i="2"/>
  <c r="F668" i="2"/>
  <c r="F667" i="2"/>
  <c r="F666" i="2"/>
  <c r="F665" i="2"/>
  <c r="F664" i="2"/>
  <c r="F663" i="2"/>
  <c r="F662" i="2"/>
  <c r="F661" i="2"/>
  <c r="F660" i="2"/>
  <c r="F659" i="2"/>
  <c r="F658" i="2"/>
  <c r="F657" i="2"/>
  <c r="F656" i="2"/>
  <c r="F655" i="2"/>
  <c r="F654" i="2"/>
  <c r="F653" i="2"/>
  <c r="F652" i="2"/>
  <c r="F651" i="2"/>
  <c r="F650" i="2"/>
  <c r="F649" i="2"/>
  <c r="F648" i="2"/>
  <c r="F647" i="2"/>
  <c r="F646" i="2"/>
  <c r="F645" i="2"/>
  <c r="F644" i="2"/>
  <c r="F643" i="2"/>
  <c r="F642" i="2"/>
  <c r="F640" i="2"/>
  <c r="F638" i="2"/>
  <c r="F636" i="2"/>
  <c r="F634" i="2"/>
  <c r="F633" i="2"/>
  <c r="F629" i="2"/>
  <c r="F628" i="2"/>
  <c r="F627" i="2"/>
  <c r="F626" i="2"/>
  <c r="F625" i="2"/>
  <c r="F624" i="2"/>
  <c r="F623" i="2"/>
  <c r="F622" i="2"/>
  <c r="F621" i="2"/>
  <c r="F620" i="2"/>
  <c r="F619" i="2"/>
  <c r="F618" i="2"/>
  <c r="F617" i="2"/>
  <c r="F616" i="2"/>
  <c r="F615" i="2"/>
  <c r="F614" i="2"/>
  <c r="F613" i="2"/>
  <c r="F612" i="2"/>
  <c r="F611" i="2"/>
  <c r="F610" i="2"/>
  <c r="F609" i="2"/>
  <c r="F608" i="2"/>
  <c r="F607" i="2"/>
  <c r="F606" i="2"/>
  <c r="F605" i="2"/>
  <c r="F604" i="2"/>
  <c r="F603" i="2"/>
  <c r="F602" i="2"/>
  <c r="F601" i="2"/>
  <c r="F600" i="2"/>
  <c r="F598" i="2"/>
  <c r="F596" i="2"/>
  <c r="F594" i="2"/>
  <c r="F592" i="2"/>
  <c r="F591" i="2"/>
  <c r="F545" i="2"/>
  <c r="F544" i="2"/>
  <c r="F543" i="2"/>
  <c r="F542" i="2"/>
  <c r="F541" i="2"/>
  <c r="F540" i="2"/>
  <c r="F539" i="2"/>
  <c r="F538" i="2"/>
  <c r="F537" i="2"/>
  <c r="F536" i="2"/>
  <c r="F535" i="2"/>
  <c r="F534" i="2"/>
  <c r="F533" i="2"/>
  <c r="F532" i="2"/>
  <c r="F531" i="2"/>
  <c r="F530" i="2"/>
  <c r="F529" i="2"/>
  <c r="F528" i="2"/>
  <c r="F527" i="2"/>
  <c r="F526" i="2"/>
  <c r="F525" i="2"/>
  <c r="F524" i="2"/>
  <c r="F523" i="2"/>
  <c r="F522" i="2"/>
  <c r="F521" i="2"/>
  <c r="F520" i="2"/>
  <c r="F519" i="2"/>
  <c r="F518" i="2"/>
  <c r="F517" i="2"/>
  <c r="F516" i="2"/>
  <c r="F514" i="2"/>
  <c r="F512" i="2"/>
  <c r="F510" i="2"/>
  <c r="F508" i="2"/>
  <c r="F507" i="2"/>
  <c r="F503" i="2"/>
  <c r="F502" i="2"/>
  <c r="F501" i="2"/>
  <c r="F500" i="2"/>
  <c r="F499" i="2"/>
  <c r="F498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2" i="2"/>
  <c r="F470" i="2"/>
  <c r="F468" i="2"/>
  <c r="F466" i="2"/>
  <c r="F465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0" i="2"/>
  <c r="F428" i="2"/>
  <c r="F426" i="2"/>
  <c r="F424" i="2"/>
  <c r="F423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8" i="2"/>
  <c r="F386" i="2"/>
  <c r="F384" i="2"/>
  <c r="F382" i="2"/>
  <c r="F381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6" i="2"/>
  <c r="F344" i="2"/>
  <c r="F342" i="2"/>
  <c r="F340" i="2"/>
  <c r="F339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4" i="2"/>
  <c r="F302" i="2"/>
  <c r="F300" i="2"/>
  <c r="F298" i="2"/>
  <c r="F297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2" i="2"/>
  <c r="F260" i="2"/>
  <c r="F258" i="2"/>
  <c r="F256" i="2"/>
  <c r="F255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0" i="2"/>
  <c r="F218" i="2"/>
  <c r="F216" i="2"/>
  <c r="F214" i="2"/>
  <c r="F213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8" i="2"/>
  <c r="F176" i="2"/>
  <c r="F174" i="2"/>
  <c r="F172" i="2"/>
  <c r="F171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6" i="2"/>
  <c r="F134" i="2"/>
  <c r="F132" i="2"/>
  <c r="F130" i="2"/>
  <c r="F129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4" i="2"/>
  <c r="F92" i="2"/>
  <c r="F90" i="2"/>
  <c r="F88" i="2"/>
  <c r="F87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2" i="2"/>
  <c r="F50" i="2"/>
  <c r="F48" i="2"/>
  <c r="F46" i="2"/>
  <c r="F45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0" i="2"/>
  <c r="F8" i="2"/>
  <c r="F6" i="2"/>
  <c r="F4" i="2"/>
  <c r="F3" i="2"/>
  <c r="E1385" i="2"/>
  <c r="E1384" i="2"/>
  <c r="E1383" i="2"/>
  <c r="E1382" i="2"/>
  <c r="E1381" i="2"/>
  <c r="E1380" i="2"/>
  <c r="E1379" i="2"/>
  <c r="E1378" i="2"/>
  <c r="E1377" i="2"/>
  <c r="E1376" i="2"/>
  <c r="E1375" i="2"/>
  <c r="E1374" i="2"/>
  <c r="E1373" i="2"/>
  <c r="E1372" i="2"/>
  <c r="E1371" i="2"/>
  <c r="E1370" i="2"/>
  <c r="E1369" i="2"/>
  <c r="E1368" i="2"/>
  <c r="E1367" i="2"/>
  <c r="E1366" i="2"/>
  <c r="E1365" i="2"/>
  <c r="E1364" i="2"/>
  <c r="E1363" i="2"/>
  <c r="E1362" i="2"/>
  <c r="E1361" i="2"/>
  <c r="E1360" i="2"/>
  <c r="E1359" i="2"/>
  <c r="E1358" i="2"/>
  <c r="E1357" i="2"/>
  <c r="E1356" i="2"/>
  <c r="E1354" i="2"/>
  <c r="E1352" i="2"/>
  <c r="E1350" i="2"/>
  <c r="E1348" i="2"/>
  <c r="E1347" i="2"/>
  <c r="E1343" i="2"/>
  <c r="E1342" i="2"/>
  <c r="E1341" i="2"/>
  <c r="E1340" i="2"/>
  <c r="E1339" i="2"/>
  <c r="E1338" i="2"/>
  <c r="E1337" i="2"/>
  <c r="E1336" i="2"/>
  <c r="E1335" i="2"/>
  <c r="E1334" i="2"/>
  <c r="E1333" i="2"/>
  <c r="E1332" i="2"/>
  <c r="E1331" i="2"/>
  <c r="E1330" i="2"/>
  <c r="E1329" i="2"/>
  <c r="E1328" i="2"/>
  <c r="E1327" i="2"/>
  <c r="E1326" i="2"/>
  <c r="E1325" i="2"/>
  <c r="E1324" i="2"/>
  <c r="E1323" i="2"/>
  <c r="E1322" i="2"/>
  <c r="E1321" i="2"/>
  <c r="E1320" i="2"/>
  <c r="E1319" i="2"/>
  <c r="E1318" i="2"/>
  <c r="E1317" i="2"/>
  <c r="E1316" i="2"/>
  <c r="E1315" i="2"/>
  <c r="E1314" i="2"/>
  <c r="E1312" i="2"/>
  <c r="E1310" i="2"/>
  <c r="E1308" i="2"/>
  <c r="E1306" i="2"/>
  <c r="E1305" i="2"/>
  <c r="E1301" i="2"/>
  <c r="E1300" i="2"/>
  <c r="E1299" i="2"/>
  <c r="E1298" i="2"/>
  <c r="E1297" i="2"/>
  <c r="E1296" i="2"/>
  <c r="E1295" i="2"/>
  <c r="E1294" i="2"/>
  <c r="E1293" i="2"/>
  <c r="E1292" i="2"/>
  <c r="E1291" i="2"/>
  <c r="E1290" i="2"/>
  <c r="E1289" i="2"/>
  <c r="E1288" i="2"/>
  <c r="E1287" i="2"/>
  <c r="E1286" i="2"/>
  <c r="E1285" i="2"/>
  <c r="E1284" i="2"/>
  <c r="E1283" i="2"/>
  <c r="E1282" i="2"/>
  <c r="E1281" i="2"/>
  <c r="E1280" i="2"/>
  <c r="E1279" i="2"/>
  <c r="E1278" i="2"/>
  <c r="E1277" i="2"/>
  <c r="E1276" i="2"/>
  <c r="E1275" i="2"/>
  <c r="E1274" i="2"/>
  <c r="E1273" i="2"/>
  <c r="E1272" i="2"/>
  <c r="E1270" i="2"/>
  <c r="E1268" i="2"/>
  <c r="E1266" i="2"/>
  <c r="E1264" i="2"/>
  <c r="E1263" i="2"/>
  <c r="E1259" i="2"/>
  <c r="E1258" i="2"/>
  <c r="E1257" i="2"/>
  <c r="E1256" i="2"/>
  <c r="E1255" i="2"/>
  <c r="E1254" i="2"/>
  <c r="E1253" i="2"/>
  <c r="E1252" i="2"/>
  <c r="E1251" i="2"/>
  <c r="E1250" i="2"/>
  <c r="E1249" i="2"/>
  <c r="E1248" i="2"/>
  <c r="E1247" i="2"/>
  <c r="E1246" i="2"/>
  <c r="E1245" i="2"/>
  <c r="E1244" i="2"/>
  <c r="E1243" i="2"/>
  <c r="E1242" i="2"/>
  <c r="E1241" i="2"/>
  <c r="E1240" i="2"/>
  <c r="E1239" i="2"/>
  <c r="E1238" i="2"/>
  <c r="E1237" i="2"/>
  <c r="E1236" i="2"/>
  <c r="E1235" i="2"/>
  <c r="E1234" i="2"/>
  <c r="E1233" i="2"/>
  <c r="E1232" i="2"/>
  <c r="E1231" i="2"/>
  <c r="E1230" i="2"/>
  <c r="E1228" i="2"/>
  <c r="E1226" i="2"/>
  <c r="E1224" i="2"/>
  <c r="E1222" i="2"/>
  <c r="E1221" i="2"/>
  <c r="E1217" i="2"/>
  <c r="E1216" i="2"/>
  <c r="E1215" i="2"/>
  <c r="E1214" i="2"/>
  <c r="E1213" i="2"/>
  <c r="E1212" i="2"/>
  <c r="E1211" i="2"/>
  <c r="E1210" i="2"/>
  <c r="E1209" i="2"/>
  <c r="E1208" i="2"/>
  <c r="E1207" i="2"/>
  <c r="E1206" i="2"/>
  <c r="E1205" i="2"/>
  <c r="E1204" i="2"/>
  <c r="E1203" i="2"/>
  <c r="E1202" i="2"/>
  <c r="E1201" i="2"/>
  <c r="E1200" i="2"/>
  <c r="E1199" i="2"/>
  <c r="E1198" i="2"/>
  <c r="E1197" i="2"/>
  <c r="E1196" i="2"/>
  <c r="E1195" i="2"/>
  <c r="E1194" i="2"/>
  <c r="E1193" i="2"/>
  <c r="E1192" i="2"/>
  <c r="E1191" i="2"/>
  <c r="E1190" i="2"/>
  <c r="E1189" i="2"/>
  <c r="E1188" i="2"/>
  <c r="E1186" i="2"/>
  <c r="E1184" i="2"/>
  <c r="E1182" i="2"/>
  <c r="E1180" i="2"/>
  <c r="E1179" i="2"/>
  <c r="E1175" i="2"/>
  <c r="E1174" i="2"/>
  <c r="E1173" i="2"/>
  <c r="E1172" i="2"/>
  <c r="E1171" i="2"/>
  <c r="E1170" i="2"/>
  <c r="E1169" i="2"/>
  <c r="E1168" i="2"/>
  <c r="E1167" i="2"/>
  <c r="E1166" i="2"/>
  <c r="E1165" i="2"/>
  <c r="E1164" i="2"/>
  <c r="E1163" i="2"/>
  <c r="E1162" i="2"/>
  <c r="E1161" i="2"/>
  <c r="E1160" i="2"/>
  <c r="E1159" i="2"/>
  <c r="E1158" i="2"/>
  <c r="E1157" i="2"/>
  <c r="E1156" i="2"/>
  <c r="E1155" i="2"/>
  <c r="E1154" i="2"/>
  <c r="E1153" i="2"/>
  <c r="E1152" i="2"/>
  <c r="E1151" i="2"/>
  <c r="E1150" i="2"/>
  <c r="E1149" i="2"/>
  <c r="E1148" i="2"/>
  <c r="E1147" i="2"/>
  <c r="E1146" i="2"/>
  <c r="E1144" i="2"/>
  <c r="E1142" i="2"/>
  <c r="E1140" i="2"/>
  <c r="E1138" i="2"/>
  <c r="E1137" i="2"/>
  <c r="E1133" i="2"/>
  <c r="E1132" i="2"/>
  <c r="E1131" i="2"/>
  <c r="E1130" i="2"/>
  <c r="E1129" i="2"/>
  <c r="E1128" i="2"/>
  <c r="E1127" i="2"/>
  <c r="E1126" i="2"/>
  <c r="E1125" i="2"/>
  <c r="E1124" i="2"/>
  <c r="E1123" i="2"/>
  <c r="E1122" i="2"/>
  <c r="E1121" i="2"/>
  <c r="E1120" i="2"/>
  <c r="E1119" i="2"/>
  <c r="E1118" i="2"/>
  <c r="E1117" i="2"/>
  <c r="E1116" i="2"/>
  <c r="E1115" i="2"/>
  <c r="E1114" i="2"/>
  <c r="E1113" i="2"/>
  <c r="E1112" i="2"/>
  <c r="E1111" i="2"/>
  <c r="E1110" i="2"/>
  <c r="E1109" i="2"/>
  <c r="E1108" i="2"/>
  <c r="E1107" i="2"/>
  <c r="E1106" i="2"/>
  <c r="E1105" i="2"/>
  <c r="E1104" i="2"/>
  <c r="E1102" i="2"/>
  <c r="E1100" i="2"/>
  <c r="E1098" i="2"/>
  <c r="E1096" i="2"/>
  <c r="E1095" i="2"/>
  <c r="E1091" i="2"/>
  <c r="E1090" i="2"/>
  <c r="E1089" i="2"/>
  <c r="E1088" i="2"/>
  <c r="E1087" i="2"/>
  <c r="E1086" i="2"/>
  <c r="E1085" i="2"/>
  <c r="E1084" i="2"/>
  <c r="E1083" i="2"/>
  <c r="E1082" i="2"/>
  <c r="E1081" i="2"/>
  <c r="E1080" i="2"/>
  <c r="E1079" i="2"/>
  <c r="E1078" i="2"/>
  <c r="E1077" i="2"/>
  <c r="E1076" i="2"/>
  <c r="E1075" i="2"/>
  <c r="E1074" i="2"/>
  <c r="E1073" i="2"/>
  <c r="E1072" i="2"/>
  <c r="E1071" i="2"/>
  <c r="E1070" i="2"/>
  <c r="E1069" i="2"/>
  <c r="E1068" i="2"/>
  <c r="E1067" i="2"/>
  <c r="E1066" i="2"/>
  <c r="E1065" i="2"/>
  <c r="E1064" i="2"/>
  <c r="E1063" i="2"/>
  <c r="E1062" i="2"/>
  <c r="E1060" i="2"/>
  <c r="E1058" i="2"/>
  <c r="E1056" i="2"/>
  <c r="E1054" i="2"/>
  <c r="E1053" i="2"/>
  <c r="E1049" i="2"/>
  <c r="E1048" i="2"/>
  <c r="E1047" i="2"/>
  <c r="E1046" i="2"/>
  <c r="E1045" i="2"/>
  <c r="E1044" i="2"/>
  <c r="E1043" i="2"/>
  <c r="E1042" i="2"/>
  <c r="E1041" i="2"/>
  <c r="E1040" i="2"/>
  <c r="E1039" i="2"/>
  <c r="E1038" i="2"/>
  <c r="E1037" i="2"/>
  <c r="E1036" i="2"/>
  <c r="E1035" i="2"/>
  <c r="E1034" i="2"/>
  <c r="E1033" i="2"/>
  <c r="E1032" i="2"/>
  <c r="E1031" i="2"/>
  <c r="E1030" i="2"/>
  <c r="E1029" i="2"/>
  <c r="E1028" i="2"/>
  <c r="E1027" i="2"/>
  <c r="E1026" i="2"/>
  <c r="E1025" i="2"/>
  <c r="E1024" i="2"/>
  <c r="E1023" i="2"/>
  <c r="E1022" i="2"/>
  <c r="E1021" i="2"/>
  <c r="E1020" i="2"/>
  <c r="E1018" i="2"/>
  <c r="E1016" i="2"/>
  <c r="E1014" i="2"/>
  <c r="E1012" i="2"/>
  <c r="E1011" i="2"/>
  <c r="E1007" i="2"/>
  <c r="E1006" i="2"/>
  <c r="E1005" i="2"/>
  <c r="E1004" i="2"/>
  <c r="E1003" i="2"/>
  <c r="E1002" i="2"/>
  <c r="E1001" i="2"/>
  <c r="E1000" i="2"/>
  <c r="E999" i="2"/>
  <c r="E998" i="2"/>
  <c r="E997" i="2"/>
  <c r="E996" i="2"/>
  <c r="E995" i="2"/>
  <c r="E994" i="2"/>
  <c r="E993" i="2"/>
  <c r="E992" i="2"/>
  <c r="E991" i="2"/>
  <c r="E990" i="2"/>
  <c r="E989" i="2"/>
  <c r="E988" i="2"/>
  <c r="E987" i="2"/>
  <c r="E986" i="2"/>
  <c r="E985" i="2"/>
  <c r="E984" i="2"/>
  <c r="E983" i="2"/>
  <c r="E982" i="2"/>
  <c r="E981" i="2"/>
  <c r="E980" i="2"/>
  <c r="E979" i="2"/>
  <c r="E978" i="2"/>
  <c r="E976" i="2"/>
  <c r="E974" i="2"/>
  <c r="E972" i="2"/>
  <c r="E970" i="2"/>
  <c r="E969" i="2"/>
  <c r="E965" i="2"/>
  <c r="E964" i="2"/>
  <c r="E963" i="2"/>
  <c r="E962" i="2"/>
  <c r="E961" i="2"/>
  <c r="E960" i="2"/>
  <c r="E959" i="2"/>
  <c r="E958" i="2"/>
  <c r="E957" i="2"/>
  <c r="E956" i="2"/>
  <c r="E955" i="2"/>
  <c r="E954" i="2"/>
  <c r="E953" i="2"/>
  <c r="E952" i="2"/>
  <c r="E951" i="2"/>
  <c r="E950" i="2"/>
  <c r="E949" i="2"/>
  <c r="E948" i="2"/>
  <c r="E947" i="2"/>
  <c r="E946" i="2"/>
  <c r="E945" i="2"/>
  <c r="E944" i="2"/>
  <c r="E943" i="2"/>
  <c r="E942" i="2"/>
  <c r="E941" i="2"/>
  <c r="E940" i="2"/>
  <c r="E939" i="2"/>
  <c r="E938" i="2"/>
  <c r="E937" i="2"/>
  <c r="E936" i="2"/>
  <c r="E934" i="2"/>
  <c r="E932" i="2"/>
  <c r="E930" i="2"/>
  <c r="E928" i="2"/>
  <c r="E927" i="2"/>
  <c r="E923" i="2"/>
  <c r="E922" i="2"/>
  <c r="E921" i="2"/>
  <c r="E920" i="2"/>
  <c r="E919" i="2"/>
  <c r="E918" i="2"/>
  <c r="E917" i="2"/>
  <c r="E916" i="2"/>
  <c r="E915" i="2"/>
  <c r="E914" i="2"/>
  <c r="E913" i="2"/>
  <c r="E912" i="2"/>
  <c r="E911" i="2"/>
  <c r="E910" i="2"/>
  <c r="E909" i="2"/>
  <c r="E908" i="2"/>
  <c r="E907" i="2"/>
  <c r="E906" i="2"/>
  <c r="E905" i="2"/>
  <c r="E904" i="2"/>
  <c r="E903" i="2"/>
  <c r="E902" i="2"/>
  <c r="E901" i="2"/>
  <c r="E900" i="2"/>
  <c r="E899" i="2"/>
  <c r="E898" i="2"/>
  <c r="E897" i="2"/>
  <c r="E896" i="2"/>
  <c r="E895" i="2"/>
  <c r="E894" i="2"/>
  <c r="E892" i="2"/>
  <c r="E890" i="2"/>
  <c r="E888" i="2"/>
  <c r="E886" i="2"/>
  <c r="E885" i="2"/>
  <c r="E881" i="2"/>
  <c r="E880" i="2"/>
  <c r="E879" i="2"/>
  <c r="E878" i="2"/>
  <c r="E877" i="2"/>
  <c r="E876" i="2"/>
  <c r="E875" i="2"/>
  <c r="E874" i="2"/>
  <c r="E873" i="2"/>
  <c r="E872" i="2"/>
  <c r="E871" i="2"/>
  <c r="E870" i="2"/>
  <c r="E869" i="2"/>
  <c r="E868" i="2"/>
  <c r="E867" i="2"/>
  <c r="E866" i="2"/>
  <c r="E865" i="2"/>
  <c r="E864" i="2"/>
  <c r="E863" i="2"/>
  <c r="E862" i="2"/>
  <c r="E861" i="2"/>
  <c r="E860" i="2"/>
  <c r="E859" i="2"/>
  <c r="E858" i="2"/>
  <c r="E857" i="2"/>
  <c r="E856" i="2"/>
  <c r="E855" i="2"/>
  <c r="E854" i="2"/>
  <c r="E853" i="2"/>
  <c r="E852" i="2"/>
  <c r="E850" i="2"/>
  <c r="E848" i="2"/>
  <c r="E846" i="2"/>
  <c r="E844" i="2"/>
  <c r="E843" i="2"/>
  <c r="E839" i="2"/>
  <c r="E838" i="2"/>
  <c r="E837" i="2"/>
  <c r="E836" i="2"/>
  <c r="E835" i="2"/>
  <c r="E834" i="2"/>
  <c r="E833" i="2"/>
  <c r="E832" i="2"/>
  <c r="E831" i="2"/>
  <c r="E830" i="2"/>
  <c r="E829" i="2"/>
  <c r="E828" i="2"/>
  <c r="E827" i="2"/>
  <c r="E826" i="2"/>
  <c r="E825" i="2"/>
  <c r="E824" i="2"/>
  <c r="E823" i="2"/>
  <c r="E822" i="2"/>
  <c r="E821" i="2"/>
  <c r="E820" i="2"/>
  <c r="E819" i="2"/>
  <c r="E818" i="2"/>
  <c r="E817" i="2"/>
  <c r="E816" i="2"/>
  <c r="E815" i="2"/>
  <c r="E814" i="2"/>
  <c r="E813" i="2"/>
  <c r="E812" i="2"/>
  <c r="E811" i="2"/>
  <c r="E810" i="2"/>
  <c r="E808" i="2"/>
  <c r="E806" i="2"/>
  <c r="E804" i="2"/>
  <c r="E802" i="2"/>
  <c r="E801" i="2"/>
  <c r="E797" i="2"/>
  <c r="E796" i="2"/>
  <c r="E795" i="2"/>
  <c r="E794" i="2"/>
  <c r="E793" i="2"/>
  <c r="E792" i="2"/>
  <c r="E791" i="2"/>
  <c r="E790" i="2"/>
  <c r="E789" i="2"/>
  <c r="E788" i="2"/>
  <c r="E787" i="2"/>
  <c r="E786" i="2"/>
  <c r="E785" i="2"/>
  <c r="E784" i="2"/>
  <c r="E783" i="2"/>
  <c r="E782" i="2"/>
  <c r="E781" i="2"/>
  <c r="E780" i="2"/>
  <c r="E779" i="2"/>
  <c r="E778" i="2"/>
  <c r="E777" i="2"/>
  <c r="E776" i="2"/>
  <c r="E775" i="2"/>
  <c r="E774" i="2"/>
  <c r="E773" i="2"/>
  <c r="E772" i="2"/>
  <c r="E771" i="2"/>
  <c r="E770" i="2"/>
  <c r="E769" i="2"/>
  <c r="E768" i="2"/>
  <c r="E766" i="2"/>
  <c r="E764" i="2"/>
  <c r="E762" i="2"/>
  <c r="E760" i="2"/>
  <c r="E759" i="2"/>
  <c r="E755" i="2"/>
  <c r="E754" i="2"/>
  <c r="E753" i="2"/>
  <c r="E752" i="2"/>
  <c r="E751" i="2"/>
  <c r="E750" i="2"/>
  <c r="E749" i="2"/>
  <c r="E748" i="2"/>
  <c r="E747" i="2"/>
  <c r="E746" i="2"/>
  <c r="E745" i="2"/>
  <c r="E744" i="2"/>
  <c r="E743" i="2"/>
  <c r="E742" i="2"/>
  <c r="E741" i="2"/>
  <c r="E740" i="2"/>
  <c r="E739" i="2"/>
  <c r="E738" i="2"/>
  <c r="E737" i="2"/>
  <c r="E736" i="2"/>
  <c r="E735" i="2"/>
  <c r="E734" i="2"/>
  <c r="E733" i="2"/>
  <c r="E732" i="2"/>
  <c r="E731" i="2"/>
  <c r="E730" i="2"/>
  <c r="E729" i="2"/>
  <c r="E728" i="2"/>
  <c r="E727" i="2"/>
  <c r="E726" i="2"/>
  <c r="E724" i="2"/>
  <c r="E722" i="2"/>
  <c r="E720" i="2"/>
  <c r="E718" i="2"/>
  <c r="E717" i="2"/>
  <c r="E713" i="2"/>
  <c r="E712" i="2"/>
  <c r="E711" i="2"/>
  <c r="E710" i="2"/>
  <c r="E709" i="2"/>
  <c r="E708" i="2"/>
  <c r="E707" i="2"/>
  <c r="E706" i="2"/>
  <c r="E705" i="2"/>
  <c r="E704" i="2"/>
  <c r="E703" i="2"/>
  <c r="E702" i="2"/>
  <c r="E701" i="2"/>
  <c r="E700" i="2"/>
  <c r="E699" i="2"/>
  <c r="E698" i="2"/>
  <c r="E697" i="2"/>
  <c r="E696" i="2"/>
  <c r="E695" i="2"/>
  <c r="E694" i="2"/>
  <c r="E693" i="2"/>
  <c r="E692" i="2"/>
  <c r="E691" i="2"/>
  <c r="E690" i="2"/>
  <c r="E689" i="2"/>
  <c r="E688" i="2"/>
  <c r="E687" i="2"/>
  <c r="E686" i="2"/>
  <c r="E685" i="2"/>
  <c r="E684" i="2"/>
  <c r="E682" i="2"/>
  <c r="E680" i="2"/>
  <c r="E678" i="2"/>
  <c r="E676" i="2"/>
  <c r="E675" i="2"/>
  <c r="E671" i="2"/>
  <c r="E670" i="2"/>
  <c r="E669" i="2"/>
  <c r="E668" i="2"/>
  <c r="E667" i="2"/>
  <c r="E666" i="2"/>
  <c r="E665" i="2"/>
  <c r="E664" i="2"/>
  <c r="E663" i="2"/>
  <c r="E662" i="2"/>
  <c r="E661" i="2"/>
  <c r="E660" i="2"/>
  <c r="E659" i="2"/>
  <c r="E658" i="2"/>
  <c r="E657" i="2"/>
  <c r="E656" i="2"/>
  <c r="E655" i="2"/>
  <c r="E654" i="2"/>
  <c r="E653" i="2"/>
  <c r="E652" i="2"/>
  <c r="E651" i="2"/>
  <c r="E650" i="2"/>
  <c r="E649" i="2"/>
  <c r="E648" i="2"/>
  <c r="E647" i="2"/>
  <c r="E646" i="2"/>
  <c r="E645" i="2"/>
  <c r="E644" i="2"/>
  <c r="E643" i="2"/>
  <c r="E642" i="2"/>
  <c r="E640" i="2"/>
  <c r="E638" i="2"/>
  <c r="E636" i="2"/>
  <c r="E634" i="2"/>
  <c r="E633" i="2"/>
  <c r="E629" i="2"/>
  <c r="E628" i="2"/>
  <c r="E627" i="2"/>
  <c r="E626" i="2"/>
  <c r="E625" i="2"/>
  <c r="E624" i="2"/>
  <c r="E623" i="2"/>
  <c r="E622" i="2"/>
  <c r="E621" i="2"/>
  <c r="E620" i="2"/>
  <c r="E619" i="2"/>
  <c r="E618" i="2"/>
  <c r="E617" i="2"/>
  <c r="E616" i="2"/>
  <c r="E615" i="2"/>
  <c r="E614" i="2"/>
  <c r="E613" i="2"/>
  <c r="E612" i="2"/>
  <c r="E611" i="2"/>
  <c r="E610" i="2"/>
  <c r="E609" i="2"/>
  <c r="E608" i="2"/>
  <c r="E607" i="2"/>
  <c r="E606" i="2"/>
  <c r="E605" i="2"/>
  <c r="E604" i="2"/>
  <c r="E603" i="2"/>
  <c r="E602" i="2"/>
  <c r="E601" i="2"/>
  <c r="E600" i="2"/>
  <c r="E598" i="2"/>
  <c r="E596" i="2"/>
  <c r="E594" i="2"/>
  <c r="E592" i="2"/>
  <c r="E591" i="2"/>
  <c r="E545" i="2"/>
  <c r="E544" i="2"/>
  <c r="E543" i="2"/>
  <c r="E542" i="2"/>
  <c r="E541" i="2"/>
  <c r="E540" i="2"/>
  <c r="E539" i="2"/>
  <c r="E538" i="2"/>
  <c r="E537" i="2"/>
  <c r="E536" i="2"/>
  <c r="E535" i="2"/>
  <c r="E534" i="2"/>
  <c r="E533" i="2"/>
  <c r="E532" i="2"/>
  <c r="E531" i="2"/>
  <c r="E530" i="2"/>
  <c r="E529" i="2"/>
  <c r="E528" i="2"/>
  <c r="E527" i="2"/>
  <c r="E526" i="2"/>
  <c r="E525" i="2"/>
  <c r="E524" i="2"/>
  <c r="E523" i="2"/>
  <c r="E522" i="2"/>
  <c r="E521" i="2"/>
  <c r="E520" i="2"/>
  <c r="E519" i="2"/>
  <c r="E518" i="2"/>
  <c r="E517" i="2"/>
  <c r="E516" i="2"/>
  <c r="E514" i="2"/>
  <c r="E512" i="2"/>
  <c r="E510" i="2"/>
  <c r="E508" i="2"/>
  <c r="E507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2" i="2"/>
  <c r="E470" i="2"/>
  <c r="E468" i="2"/>
  <c r="E466" i="2"/>
  <c r="E465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0" i="2"/>
  <c r="E428" i="2"/>
  <c r="E426" i="2"/>
  <c r="E424" i="2"/>
  <c r="E423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8" i="2"/>
  <c r="E386" i="2"/>
  <c r="E384" i="2"/>
  <c r="E382" i="2"/>
  <c r="E381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6" i="2"/>
  <c r="E344" i="2"/>
  <c r="E342" i="2"/>
  <c r="E340" i="2"/>
  <c r="E339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4" i="2"/>
  <c r="E302" i="2"/>
  <c r="E300" i="2"/>
  <c r="E298" i="2"/>
  <c r="E297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2" i="2"/>
  <c r="E260" i="2"/>
  <c r="E258" i="2"/>
  <c r="E256" i="2"/>
  <c r="E255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0" i="2"/>
  <c r="E218" i="2"/>
  <c r="E216" i="2"/>
  <c r="E214" i="2"/>
  <c r="E213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8" i="2"/>
  <c r="E176" i="2"/>
  <c r="E174" i="2"/>
  <c r="E172" i="2"/>
  <c r="E171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6" i="2"/>
  <c r="E134" i="2"/>
  <c r="E132" i="2"/>
  <c r="E130" i="2"/>
  <c r="E129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4" i="2"/>
  <c r="E92" i="2"/>
  <c r="E90" i="2"/>
  <c r="E88" i="2"/>
  <c r="E87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2" i="2"/>
  <c r="E50" i="2"/>
  <c r="E48" i="2"/>
  <c r="E46" i="2"/>
  <c r="E45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0" i="2"/>
  <c r="E8" i="2"/>
  <c r="E6" i="2"/>
  <c r="E4" i="2"/>
  <c r="E3" i="2"/>
  <c r="D1385" i="2"/>
  <c r="D1384" i="2"/>
  <c r="D1383" i="2"/>
  <c r="D1382" i="2"/>
  <c r="D1381" i="2"/>
  <c r="D1380" i="2"/>
  <c r="D1379" i="2"/>
  <c r="D1378" i="2"/>
  <c r="D1377" i="2"/>
  <c r="D1376" i="2"/>
  <c r="D1375" i="2"/>
  <c r="D1374" i="2"/>
  <c r="D1373" i="2"/>
  <c r="D1372" i="2"/>
  <c r="D1371" i="2"/>
  <c r="D1370" i="2"/>
  <c r="D1369" i="2"/>
  <c r="D1368" i="2"/>
  <c r="D1367" i="2"/>
  <c r="D1366" i="2"/>
  <c r="D1365" i="2"/>
  <c r="D1364" i="2"/>
  <c r="D1363" i="2"/>
  <c r="D1362" i="2"/>
  <c r="D1361" i="2"/>
  <c r="D1360" i="2"/>
  <c r="D1359" i="2"/>
  <c r="D1358" i="2"/>
  <c r="D1357" i="2"/>
  <c r="D1356" i="2"/>
  <c r="D1354" i="2"/>
  <c r="D1352" i="2"/>
  <c r="D1350" i="2"/>
  <c r="D1348" i="2"/>
  <c r="D1347" i="2"/>
  <c r="D1343" i="2"/>
  <c r="D1342" i="2"/>
  <c r="D1341" i="2"/>
  <c r="D1340" i="2"/>
  <c r="D1339" i="2"/>
  <c r="D1338" i="2"/>
  <c r="D1337" i="2"/>
  <c r="D1336" i="2"/>
  <c r="D1335" i="2"/>
  <c r="D1334" i="2"/>
  <c r="D1333" i="2"/>
  <c r="D1332" i="2"/>
  <c r="D1331" i="2"/>
  <c r="D1330" i="2"/>
  <c r="D1329" i="2"/>
  <c r="D1328" i="2"/>
  <c r="D1327" i="2"/>
  <c r="D1326" i="2"/>
  <c r="D1325" i="2"/>
  <c r="D1324" i="2"/>
  <c r="D1323" i="2"/>
  <c r="D1322" i="2"/>
  <c r="D1321" i="2"/>
  <c r="D1320" i="2"/>
  <c r="D1319" i="2"/>
  <c r="D1318" i="2"/>
  <c r="D1317" i="2"/>
  <c r="D1316" i="2"/>
  <c r="D1315" i="2"/>
  <c r="D1314" i="2"/>
  <c r="D1312" i="2"/>
  <c r="D1310" i="2"/>
  <c r="D1308" i="2"/>
  <c r="D1306" i="2"/>
  <c r="D1305" i="2"/>
  <c r="D1301" i="2"/>
  <c r="D1300" i="2"/>
  <c r="D1299" i="2"/>
  <c r="D1298" i="2"/>
  <c r="D1297" i="2"/>
  <c r="D1296" i="2"/>
  <c r="D1295" i="2"/>
  <c r="D1294" i="2"/>
  <c r="D1293" i="2"/>
  <c r="D1292" i="2"/>
  <c r="D1291" i="2"/>
  <c r="D1290" i="2"/>
  <c r="D1289" i="2"/>
  <c r="D1288" i="2"/>
  <c r="D1287" i="2"/>
  <c r="D1286" i="2"/>
  <c r="D1285" i="2"/>
  <c r="D1284" i="2"/>
  <c r="D1283" i="2"/>
  <c r="D1282" i="2"/>
  <c r="D1281" i="2"/>
  <c r="D1280" i="2"/>
  <c r="D1279" i="2"/>
  <c r="D1278" i="2"/>
  <c r="D1277" i="2"/>
  <c r="D1276" i="2"/>
  <c r="D1275" i="2"/>
  <c r="D1274" i="2"/>
  <c r="D1273" i="2"/>
  <c r="D1272" i="2"/>
  <c r="D1270" i="2"/>
  <c r="D1268" i="2"/>
  <c r="D1266" i="2"/>
  <c r="D1264" i="2"/>
  <c r="D1263" i="2"/>
  <c r="D1259" i="2"/>
  <c r="D1258" i="2"/>
  <c r="D1257" i="2"/>
  <c r="D1256" i="2"/>
  <c r="D1255" i="2"/>
  <c r="D1254" i="2"/>
  <c r="D1253" i="2"/>
  <c r="D1252" i="2"/>
  <c r="D1251" i="2"/>
  <c r="D1250" i="2"/>
  <c r="D1249" i="2"/>
  <c r="D1248" i="2"/>
  <c r="D1247" i="2"/>
  <c r="D1246" i="2"/>
  <c r="D1245" i="2"/>
  <c r="D1244" i="2"/>
  <c r="D1243" i="2"/>
  <c r="D1242" i="2"/>
  <c r="D1241" i="2"/>
  <c r="D1240" i="2"/>
  <c r="D1239" i="2"/>
  <c r="D1238" i="2"/>
  <c r="D1237" i="2"/>
  <c r="D1236" i="2"/>
  <c r="D1235" i="2"/>
  <c r="D1234" i="2"/>
  <c r="D1233" i="2"/>
  <c r="D1232" i="2"/>
  <c r="D1231" i="2"/>
  <c r="D1230" i="2"/>
  <c r="D1228" i="2"/>
  <c r="D1226" i="2"/>
  <c r="D1224" i="2"/>
  <c r="D1222" i="2"/>
  <c r="D1221" i="2"/>
  <c r="D1217" i="2"/>
  <c r="D1216" i="2"/>
  <c r="D1215" i="2"/>
  <c r="D1214" i="2"/>
  <c r="D1213" i="2"/>
  <c r="D1212" i="2"/>
  <c r="D1211" i="2"/>
  <c r="D1210" i="2"/>
  <c r="D1209" i="2"/>
  <c r="D1208" i="2"/>
  <c r="D1207" i="2"/>
  <c r="D1206" i="2"/>
  <c r="D1205" i="2"/>
  <c r="D1204" i="2"/>
  <c r="D1203" i="2"/>
  <c r="D1202" i="2"/>
  <c r="D1201" i="2"/>
  <c r="D1200" i="2"/>
  <c r="D1199" i="2"/>
  <c r="D1198" i="2"/>
  <c r="D1197" i="2"/>
  <c r="D1196" i="2"/>
  <c r="D1195" i="2"/>
  <c r="D1194" i="2"/>
  <c r="D1193" i="2"/>
  <c r="D1192" i="2"/>
  <c r="D1191" i="2"/>
  <c r="D1190" i="2"/>
  <c r="D1189" i="2"/>
  <c r="D1188" i="2"/>
  <c r="D1186" i="2"/>
  <c r="D1184" i="2"/>
  <c r="D1182" i="2"/>
  <c r="D1180" i="2"/>
  <c r="D1179" i="2"/>
  <c r="D1175" i="2"/>
  <c r="D1174" i="2"/>
  <c r="D1173" i="2"/>
  <c r="D1172" i="2"/>
  <c r="D1171" i="2"/>
  <c r="D1170" i="2"/>
  <c r="D1169" i="2"/>
  <c r="D1168" i="2"/>
  <c r="D1167" i="2"/>
  <c r="D1166" i="2"/>
  <c r="D1165" i="2"/>
  <c r="D1164" i="2"/>
  <c r="D1163" i="2"/>
  <c r="D1162" i="2"/>
  <c r="D1161" i="2"/>
  <c r="D1160" i="2"/>
  <c r="D1159" i="2"/>
  <c r="D1158" i="2"/>
  <c r="D1157" i="2"/>
  <c r="D1156" i="2"/>
  <c r="D1155" i="2"/>
  <c r="D1154" i="2"/>
  <c r="D1153" i="2"/>
  <c r="D1152" i="2"/>
  <c r="D1151" i="2"/>
  <c r="D1150" i="2"/>
  <c r="D1149" i="2"/>
  <c r="D1148" i="2"/>
  <c r="D1147" i="2"/>
  <c r="D1146" i="2"/>
  <c r="D1144" i="2"/>
  <c r="D1142" i="2"/>
  <c r="D1140" i="2"/>
  <c r="D1138" i="2"/>
  <c r="D1137" i="2"/>
  <c r="D1133" i="2"/>
  <c r="D1132" i="2"/>
  <c r="D1131" i="2"/>
  <c r="D1130" i="2"/>
  <c r="D1129" i="2"/>
  <c r="D1128" i="2"/>
  <c r="D1127" i="2"/>
  <c r="D1126" i="2"/>
  <c r="D1125" i="2"/>
  <c r="D1124" i="2"/>
  <c r="D1123" i="2"/>
  <c r="D1122" i="2"/>
  <c r="D1121" i="2"/>
  <c r="D1120" i="2"/>
  <c r="D1119" i="2"/>
  <c r="D1118" i="2"/>
  <c r="D1117" i="2"/>
  <c r="D1116" i="2"/>
  <c r="D1115" i="2"/>
  <c r="D1114" i="2"/>
  <c r="D1113" i="2"/>
  <c r="D1112" i="2"/>
  <c r="D1111" i="2"/>
  <c r="D1110" i="2"/>
  <c r="D1109" i="2"/>
  <c r="D1108" i="2"/>
  <c r="D1107" i="2"/>
  <c r="D1106" i="2"/>
  <c r="D1105" i="2"/>
  <c r="D1104" i="2"/>
  <c r="D1102" i="2"/>
  <c r="D1100" i="2"/>
  <c r="D1098" i="2"/>
  <c r="D1096" i="2"/>
  <c r="D1095" i="2"/>
  <c r="D1091" i="2"/>
  <c r="D1090" i="2"/>
  <c r="D1089" i="2"/>
  <c r="D1088" i="2"/>
  <c r="D1087" i="2"/>
  <c r="D1086" i="2"/>
  <c r="D1085" i="2"/>
  <c r="D1084" i="2"/>
  <c r="D1083" i="2"/>
  <c r="D1082" i="2"/>
  <c r="D1081" i="2"/>
  <c r="D1080" i="2"/>
  <c r="D1079" i="2"/>
  <c r="D1078" i="2"/>
  <c r="D1077" i="2"/>
  <c r="D1076" i="2"/>
  <c r="D1075" i="2"/>
  <c r="D1074" i="2"/>
  <c r="D1073" i="2"/>
  <c r="D1072" i="2"/>
  <c r="D1071" i="2"/>
  <c r="D1070" i="2"/>
  <c r="D1069" i="2"/>
  <c r="D1068" i="2"/>
  <c r="D1067" i="2"/>
  <c r="D1066" i="2"/>
  <c r="D1065" i="2"/>
  <c r="D1064" i="2"/>
  <c r="D1063" i="2"/>
  <c r="D1062" i="2"/>
  <c r="D1060" i="2"/>
  <c r="D1058" i="2"/>
  <c r="D1056" i="2"/>
  <c r="D1054" i="2"/>
  <c r="D1053" i="2"/>
  <c r="D1049" i="2"/>
  <c r="D1048" i="2"/>
  <c r="D1047" i="2"/>
  <c r="D1046" i="2"/>
  <c r="D1045" i="2"/>
  <c r="D1044" i="2"/>
  <c r="D1043" i="2"/>
  <c r="D1042" i="2"/>
  <c r="D1041" i="2"/>
  <c r="D1040" i="2"/>
  <c r="D1039" i="2"/>
  <c r="D1038" i="2"/>
  <c r="D1037" i="2"/>
  <c r="D1036" i="2"/>
  <c r="D1035" i="2"/>
  <c r="D1034" i="2"/>
  <c r="D1033" i="2"/>
  <c r="D1032" i="2"/>
  <c r="D1031" i="2"/>
  <c r="D1030" i="2"/>
  <c r="D1029" i="2"/>
  <c r="D1028" i="2"/>
  <c r="D1027" i="2"/>
  <c r="D1026" i="2"/>
  <c r="D1025" i="2"/>
  <c r="D1024" i="2"/>
  <c r="D1023" i="2"/>
  <c r="D1022" i="2"/>
  <c r="D1021" i="2"/>
  <c r="D1020" i="2"/>
  <c r="D1018" i="2"/>
  <c r="D1016" i="2"/>
  <c r="D1014" i="2"/>
  <c r="D1012" i="2"/>
  <c r="D1011" i="2"/>
  <c r="D1007" i="2"/>
  <c r="D1006" i="2"/>
  <c r="D1005" i="2"/>
  <c r="D1004" i="2"/>
  <c r="D1003" i="2"/>
  <c r="D1002" i="2"/>
  <c r="D1001" i="2"/>
  <c r="D1000" i="2"/>
  <c r="D999" i="2"/>
  <c r="D998" i="2"/>
  <c r="D997" i="2"/>
  <c r="D996" i="2"/>
  <c r="D995" i="2"/>
  <c r="D994" i="2"/>
  <c r="D993" i="2"/>
  <c r="D992" i="2"/>
  <c r="D991" i="2"/>
  <c r="D990" i="2"/>
  <c r="D989" i="2"/>
  <c r="D988" i="2"/>
  <c r="D987" i="2"/>
  <c r="D986" i="2"/>
  <c r="D985" i="2"/>
  <c r="D984" i="2"/>
  <c r="D983" i="2"/>
  <c r="D982" i="2"/>
  <c r="D981" i="2"/>
  <c r="D980" i="2"/>
  <c r="D979" i="2"/>
  <c r="D978" i="2"/>
  <c r="D976" i="2"/>
  <c r="D974" i="2"/>
  <c r="D972" i="2"/>
  <c r="D970" i="2"/>
  <c r="D969" i="2"/>
  <c r="D965" i="2"/>
  <c r="D964" i="2"/>
  <c r="D963" i="2"/>
  <c r="D962" i="2"/>
  <c r="D961" i="2"/>
  <c r="D960" i="2"/>
  <c r="D959" i="2"/>
  <c r="D958" i="2"/>
  <c r="D957" i="2"/>
  <c r="D956" i="2"/>
  <c r="D955" i="2"/>
  <c r="D954" i="2"/>
  <c r="D953" i="2"/>
  <c r="D952" i="2"/>
  <c r="D951" i="2"/>
  <c r="D950" i="2"/>
  <c r="D949" i="2"/>
  <c r="D948" i="2"/>
  <c r="D947" i="2"/>
  <c r="D946" i="2"/>
  <c r="D945" i="2"/>
  <c r="D944" i="2"/>
  <c r="D943" i="2"/>
  <c r="D942" i="2"/>
  <c r="D941" i="2"/>
  <c r="D940" i="2"/>
  <c r="D939" i="2"/>
  <c r="D938" i="2"/>
  <c r="D937" i="2"/>
  <c r="D936" i="2"/>
  <c r="D934" i="2"/>
  <c r="D932" i="2"/>
  <c r="D930" i="2"/>
  <c r="D928" i="2"/>
  <c r="D927" i="2"/>
  <c r="D923" i="2"/>
  <c r="D922" i="2"/>
  <c r="D921" i="2"/>
  <c r="D920" i="2"/>
  <c r="D919" i="2"/>
  <c r="D918" i="2"/>
  <c r="D917" i="2"/>
  <c r="D916" i="2"/>
  <c r="D915" i="2"/>
  <c r="D914" i="2"/>
  <c r="D913" i="2"/>
  <c r="D912" i="2"/>
  <c r="D911" i="2"/>
  <c r="D910" i="2"/>
  <c r="D909" i="2"/>
  <c r="D908" i="2"/>
  <c r="D907" i="2"/>
  <c r="D906" i="2"/>
  <c r="D905" i="2"/>
  <c r="D904" i="2"/>
  <c r="D903" i="2"/>
  <c r="D902" i="2"/>
  <c r="D901" i="2"/>
  <c r="D900" i="2"/>
  <c r="D899" i="2"/>
  <c r="D898" i="2"/>
  <c r="D897" i="2"/>
  <c r="D896" i="2"/>
  <c r="D895" i="2"/>
  <c r="D894" i="2"/>
  <c r="D892" i="2"/>
  <c r="D890" i="2"/>
  <c r="D888" i="2"/>
  <c r="D886" i="2"/>
  <c r="D885" i="2"/>
  <c r="D881" i="2"/>
  <c r="D880" i="2"/>
  <c r="D879" i="2"/>
  <c r="D878" i="2"/>
  <c r="D877" i="2"/>
  <c r="D876" i="2"/>
  <c r="D875" i="2"/>
  <c r="D874" i="2"/>
  <c r="D873" i="2"/>
  <c r="D872" i="2"/>
  <c r="D871" i="2"/>
  <c r="D870" i="2"/>
  <c r="D869" i="2"/>
  <c r="D868" i="2"/>
  <c r="D867" i="2"/>
  <c r="D866" i="2"/>
  <c r="D865" i="2"/>
  <c r="D864" i="2"/>
  <c r="D863" i="2"/>
  <c r="D862" i="2"/>
  <c r="D861" i="2"/>
  <c r="D860" i="2"/>
  <c r="D859" i="2"/>
  <c r="D858" i="2"/>
  <c r="D857" i="2"/>
  <c r="D856" i="2"/>
  <c r="D855" i="2"/>
  <c r="D854" i="2"/>
  <c r="D853" i="2"/>
  <c r="D852" i="2"/>
  <c r="D850" i="2"/>
  <c r="D848" i="2"/>
  <c r="D846" i="2"/>
  <c r="D844" i="2"/>
  <c r="D843" i="2"/>
  <c r="D839" i="2"/>
  <c r="D838" i="2"/>
  <c r="D837" i="2"/>
  <c r="D836" i="2"/>
  <c r="D835" i="2"/>
  <c r="D834" i="2"/>
  <c r="D833" i="2"/>
  <c r="D832" i="2"/>
  <c r="D831" i="2"/>
  <c r="D830" i="2"/>
  <c r="D829" i="2"/>
  <c r="D828" i="2"/>
  <c r="D827" i="2"/>
  <c r="D826" i="2"/>
  <c r="D825" i="2"/>
  <c r="D824" i="2"/>
  <c r="D823" i="2"/>
  <c r="D822" i="2"/>
  <c r="D821" i="2"/>
  <c r="D820" i="2"/>
  <c r="D819" i="2"/>
  <c r="D818" i="2"/>
  <c r="D817" i="2"/>
  <c r="D816" i="2"/>
  <c r="D815" i="2"/>
  <c r="D814" i="2"/>
  <c r="D813" i="2"/>
  <c r="D812" i="2"/>
  <c r="D811" i="2"/>
  <c r="D810" i="2"/>
  <c r="D808" i="2"/>
  <c r="D806" i="2"/>
  <c r="D804" i="2"/>
  <c r="D802" i="2"/>
  <c r="D801" i="2"/>
  <c r="D797" i="2"/>
  <c r="D796" i="2"/>
  <c r="D795" i="2"/>
  <c r="D794" i="2"/>
  <c r="D793" i="2"/>
  <c r="D792" i="2"/>
  <c r="D791" i="2"/>
  <c r="D790" i="2"/>
  <c r="D789" i="2"/>
  <c r="D788" i="2"/>
  <c r="D787" i="2"/>
  <c r="D786" i="2"/>
  <c r="D785" i="2"/>
  <c r="D784" i="2"/>
  <c r="D783" i="2"/>
  <c r="D782" i="2"/>
  <c r="D781" i="2"/>
  <c r="D780" i="2"/>
  <c r="D779" i="2"/>
  <c r="D778" i="2"/>
  <c r="D777" i="2"/>
  <c r="D776" i="2"/>
  <c r="D775" i="2"/>
  <c r="D774" i="2"/>
  <c r="D773" i="2"/>
  <c r="D772" i="2"/>
  <c r="D771" i="2"/>
  <c r="D770" i="2"/>
  <c r="D769" i="2"/>
  <c r="D768" i="2"/>
  <c r="D766" i="2"/>
  <c r="D764" i="2"/>
  <c r="D762" i="2"/>
  <c r="D760" i="2"/>
  <c r="D759" i="2"/>
  <c r="D755" i="2"/>
  <c r="D754" i="2"/>
  <c r="D753" i="2"/>
  <c r="D752" i="2"/>
  <c r="D751" i="2"/>
  <c r="D750" i="2"/>
  <c r="D749" i="2"/>
  <c r="D748" i="2"/>
  <c r="D747" i="2"/>
  <c r="D746" i="2"/>
  <c r="D745" i="2"/>
  <c r="D744" i="2"/>
  <c r="D743" i="2"/>
  <c r="D742" i="2"/>
  <c r="D741" i="2"/>
  <c r="D740" i="2"/>
  <c r="D739" i="2"/>
  <c r="D738" i="2"/>
  <c r="D737" i="2"/>
  <c r="D736" i="2"/>
  <c r="D735" i="2"/>
  <c r="D734" i="2"/>
  <c r="D733" i="2"/>
  <c r="D732" i="2"/>
  <c r="D731" i="2"/>
  <c r="D730" i="2"/>
  <c r="D729" i="2"/>
  <c r="D728" i="2"/>
  <c r="D727" i="2"/>
  <c r="D726" i="2"/>
  <c r="D724" i="2"/>
  <c r="D722" i="2"/>
  <c r="D720" i="2"/>
  <c r="D718" i="2"/>
  <c r="D717" i="2"/>
  <c r="D713" i="2"/>
  <c r="D712" i="2"/>
  <c r="D711" i="2"/>
  <c r="D710" i="2"/>
  <c r="D709" i="2"/>
  <c r="D708" i="2"/>
  <c r="D707" i="2"/>
  <c r="D706" i="2"/>
  <c r="D705" i="2"/>
  <c r="D704" i="2"/>
  <c r="D703" i="2"/>
  <c r="D702" i="2"/>
  <c r="D701" i="2"/>
  <c r="D700" i="2"/>
  <c r="D699" i="2"/>
  <c r="D698" i="2"/>
  <c r="D697" i="2"/>
  <c r="D696" i="2"/>
  <c r="D695" i="2"/>
  <c r="D694" i="2"/>
  <c r="D693" i="2"/>
  <c r="D692" i="2"/>
  <c r="D691" i="2"/>
  <c r="D690" i="2"/>
  <c r="D689" i="2"/>
  <c r="D688" i="2"/>
  <c r="D687" i="2"/>
  <c r="D686" i="2"/>
  <c r="D685" i="2"/>
  <c r="D684" i="2"/>
  <c r="D682" i="2"/>
  <c r="D680" i="2"/>
  <c r="D678" i="2"/>
  <c r="D676" i="2"/>
  <c r="D675" i="2"/>
  <c r="D671" i="2"/>
  <c r="D670" i="2"/>
  <c r="D669" i="2"/>
  <c r="D668" i="2"/>
  <c r="D667" i="2"/>
  <c r="D666" i="2"/>
  <c r="D665" i="2"/>
  <c r="D664" i="2"/>
  <c r="D663" i="2"/>
  <c r="D662" i="2"/>
  <c r="D661" i="2"/>
  <c r="D660" i="2"/>
  <c r="D659" i="2"/>
  <c r="D658" i="2"/>
  <c r="D657" i="2"/>
  <c r="D656" i="2"/>
  <c r="D655" i="2"/>
  <c r="D654" i="2"/>
  <c r="D653" i="2"/>
  <c r="D652" i="2"/>
  <c r="D651" i="2"/>
  <c r="D650" i="2"/>
  <c r="D649" i="2"/>
  <c r="D648" i="2"/>
  <c r="D647" i="2"/>
  <c r="D646" i="2"/>
  <c r="D645" i="2"/>
  <c r="D644" i="2"/>
  <c r="D643" i="2"/>
  <c r="D642" i="2"/>
  <c r="D640" i="2"/>
  <c r="D638" i="2"/>
  <c r="D636" i="2"/>
  <c r="D634" i="2"/>
  <c r="D633" i="2"/>
  <c r="D629" i="2"/>
  <c r="D628" i="2"/>
  <c r="D627" i="2"/>
  <c r="D626" i="2"/>
  <c r="D625" i="2"/>
  <c r="D624" i="2"/>
  <c r="D623" i="2"/>
  <c r="D622" i="2"/>
  <c r="D621" i="2"/>
  <c r="D620" i="2"/>
  <c r="D619" i="2"/>
  <c r="D618" i="2"/>
  <c r="D617" i="2"/>
  <c r="D616" i="2"/>
  <c r="D615" i="2"/>
  <c r="D614" i="2"/>
  <c r="D613" i="2"/>
  <c r="D612" i="2"/>
  <c r="D611" i="2"/>
  <c r="D610" i="2"/>
  <c r="D609" i="2"/>
  <c r="D608" i="2"/>
  <c r="D607" i="2"/>
  <c r="D606" i="2"/>
  <c r="D605" i="2"/>
  <c r="D604" i="2"/>
  <c r="D603" i="2"/>
  <c r="D602" i="2"/>
  <c r="D601" i="2"/>
  <c r="D600" i="2"/>
  <c r="D598" i="2"/>
  <c r="D596" i="2"/>
  <c r="D594" i="2"/>
  <c r="D592" i="2"/>
  <c r="D545" i="2"/>
  <c r="D544" i="2"/>
  <c r="D543" i="2"/>
  <c r="D542" i="2"/>
  <c r="D541" i="2"/>
  <c r="D540" i="2"/>
  <c r="D539" i="2"/>
  <c r="D538" i="2"/>
  <c r="D537" i="2"/>
  <c r="D536" i="2"/>
  <c r="D535" i="2"/>
  <c r="D534" i="2"/>
  <c r="D533" i="2"/>
  <c r="D532" i="2"/>
  <c r="D531" i="2"/>
  <c r="D530" i="2"/>
  <c r="D529" i="2"/>
  <c r="D528" i="2"/>
  <c r="D527" i="2"/>
  <c r="D526" i="2"/>
  <c r="D525" i="2"/>
  <c r="D524" i="2"/>
  <c r="D523" i="2"/>
  <c r="D522" i="2"/>
  <c r="D521" i="2"/>
  <c r="D520" i="2"/>
  <c r="D519" i="2"/>
  <c r="D518" i="2"/>
  <c r="D517" i="2"/>
  <c r="D516" i="2"/>
  <c r="D514" i="2"/>
  <c r="D512" i="2"/>
  <c r="D510" i="2"/>
  <c r="D508" i="2"/>
  <c r="D507" i="2"/>
  <c r="D503" i="2"/>
  <c r="D502" i="2"/>
  <c r="D501" i="2"/>
  <c r="D500" i="2"/>
  <c r="D499" i="2"/>
  <c r="D498" i="2"/>
  <c r="D497" i="2"/>
  <c r="D496" i="2"/>
  <c r="D495" i="2"/>
  <c r="D494" i="2"/>
  <c r="D493" i="2"/>
  <c r="D492" i="2"/>
  <c r="D491" i="2"/>
  <c r="D490" i="2"/>
  <c r="D489" i="2"/>
  <c r="D488" i="2"/>
  <c r="D487" i="2"/>
  <c r="D486" i="2"/>
  <c r="D485" i="2"/>
  <c r="D484" i="2"/>
  <c r="D483" i="2"/>
  <c r="D482" i="2"/>
  <c r="D481" i="2"/>
  <c r="D480" i="2"/>
  <c r="D479" i="2"/>
  <c r="D478" i="2"/>
  <c r="D477" i="2"/>
  <c r="D476" i="2"/>
  <c r="D475" i="2"/>
  <c r="D474" i="2"/>
  <c r="D472" i="2"/>
  <c r="D470" i="2"/>
  <c r="D468" i="2"/>
  <c r="D466" i="2"/>
  <c r="D465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0" i="2"/>
  <c r="D428" i="2"/>
  <c r="D426" i="2"/>
  <c r="D424" i="2"/>
  <c r="D423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8" i="2"/>
  <c r="D386" i="2"/>
  <c r="D384" i="2"/>
  <c r="D382" i="2"/>
  <c r="D381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6" i="2"/>
  <c r="D344" i="2"/>
  <c r="D342" i="2"/>
  <c r="D340" i="2"/>
  <c r="D339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4" i="2"/>
  <c r="D302" i="2"/>
  <c r="D300" i="2"/>
  <c r="D298" i="2"/>
  <c r="D297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2" i="2"/>
  <c r="D260" i="2"/>
  <c r="D258" i="2"/>
  <c r="D256" i="2"/>
  <c r="D255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0" i="2"/>
  <c r="D218" i="2"/>
  <c r="D216" i="2"/>
  <c r="D214" i="2"/>
  <c r="D213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8" i="2"/>
  <c r="D176" i="2"/>
  <c r="D174" i="2"/>
  <c r="D172" i="2"/>
  <c r="D171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6" i="2"/>
  <c r="D134" i="2"/>
  <c r="D132" i="2"/>
  <c r="D130" i="2"/>
  <c r="D129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4" i="2"/>
  <c r="D92" i="2"/>
  <c r="D90" i="2"/>
  <c r="D88" i="2"/>
  <c r="D87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2" i="2"/>
  <c r="D50" i="2"/>
  <c r="D48" i="2"/>
  <c r="D46" i="2"/>
  <c r="D45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0" i="2"/>
  <c r="D8" i="2"/>
  <c r="D6" i="2"/>
  <c r="D4" i="2"/>
  <c r="D3" i="2"/>
  <c r="M1398" i="2" l="1"/>
  <c r="M1396" i="2"/>
  <c r="K1391" i="2"/>
  <c r="M1399" i="2" l="1"/>
  <c r="G1398" i="2"/>
  <c r="F1398" i="2"/>
  <c r="F1391" i="2"/>
  <c r="J1391" i="2"/>
  <c r="D1391" i="2"/>
  <c r="H1391" i="2"/>
  <c r="L1391" i="2"/>
  <c r="G1391" i="2"/>
  <c r="O1391" i="2"/>
  <c r="N1391" i="2"/>
  <c r="E1391" i="2"/>
  <c r="M1391" i="2"/>
  <c r="E1428" i="2"/>
  <c r="F1429" i="2"/>
  <c r="D1426" i="2"/>
  <c r="E1427" i="2"/>
  <c r="F1428" i="2"/>
  <c r="D1425" i="2"/>
  <c r="E1426" i="2"/>
  <c r="F1427" i="2"/>
  <c r="D1429" i="2"/>
  <c r="E1425" i="2"/>
  <c r="F1426" i="2"/>
  <c r="D1428" i="2"/>
  <c r="E1429" i="2"/>
  <c r="F1425" i="2"/>
  <c r="D1427" i="2"/>
  <c r="O1351" i="2"/>
  <c r="N1353" i="2"/>
  <c r="M1353" i="2"/>
  <c r="L1351" i="2"/>
  <c r="K1351" i="2"/>
  <c r="J1353" i="2"/>
  <c r="H1351" i="2"/>
  <c r="G1351" i="2"/>
  <c r="F1353" i="2"/>
  <c r="E1353" i="2"/>
  <c r="J1313" i="2"/>
  <c r="F1313" i="2"/>
  <c r="O1309" i="2"/>
  <c r="N1307" i="2"/>
  <c r="M1309" i="2"/>
  <c r="L1311" i="2"/>
  <c r="K1311" i="2"/>
  <c r="J1309" i="2"/>
  <c r="H1309" i="2"/>
  <c r="G1311" i="2"/>
  <c r="F1309" i="2"/>
  <c r="E1309" i="2"/>
  <c r="D1311" i="2"/>
  <c r="M1271" i="2"/>
  <c r="O1267" i="2"/>
  <c r="N1269" i="2"/>
  <c r="M1269" i="2"/>
  <c r="L1267" i="2"/>
  <c r="K1267" i="2"/>
  <c r="J1269" i="2"/>
  <c r="H1267" i="2"/>
  <c r="G1267" i="2"/>
  <c r="F1269" i="2"/>
  <c r="E1269" i="2"/>
  <c r="D1267" i="2"/>
  <c r="O1229" i="2"/>
  <c r="F1229" i="2"/>
  <c r="O1225" i="2"/>
  <c r="N1227" i="2"/>
  <c r="M1227" i="2"/>
  <c r="L1225" i="2"/>
  <c r="K1225" i="2"/>
  <c r="J1227" i="2"/>
  <c r="H1225" i="2"/>
  <c r="G1225" i="2"/>
  <c r="F1227" i="2"/>
  <c r="E1227" i="2"/>
  <c r="D1225" i="2"/>
  <c r="O1183" i="2"/>
  <c r="N1185" i="2"/>
  <c r="M1185" i="2"/>
  <c r="L1183" i="2"/>
  <c r="K1183" i="2"/>
  <c r="J1185" i="2"/>
  <c r="H1183" i="2"/>
  <c r="G1183" i="2"/>
  <c r="F1185" i="2"/>
  <c r="E1185" i="2"/>
  <c r="D1183" i="2"/>
  <c r="O1141" i="2"/>
  <c r="N1143" i="2"/>
  <c r="M1143" i="2"/>
  <c r="L1141" i="2"/>
  <c r="K1141" i="2"/>
  <c r="J1143" i="2"/>
  <c r="H1141" i="2"/>
  <c r="G1141" i="2"/>
  <c r="F1143" i="2"/>
  <c r="E1143" i="2"/>
  <c r="D1141" i="2"/>
  <c r="H1103" i="2"/>
  <c r="O1099" i="2"/>
  <c r="K1097" i="2"/>
  <c r="J1061" i="2"/>
  <c r="F1061" i="2"/>
  <c r="O1057" i="2"/>
  <c r="N1059" i="2"/>
  <c r="M1059" i="2"/>
  <c r="L1057" i="2"/>
  <c r="K1057" i="2"/>
  <c r="J1059" i="2"/>
  <c r="H1057" i="2"/>
  <c r="G1057" i="2"/>
  <c r="F1059" i="2"/>
  <c r="E1059" i="2"/>
  <c r="D1057" i="2"/>
  <c r="M1019" i="2"/>
  <c r="K1019" i="2"/>
  <c r="G1019" i="2"/>
  <c r="E1019" i="2"/>
  <c r="O1015" i="2"/>
  <c r="F1013" i="2"/>
  <c r="O973" i="2"/>
  <c r="N975" i="2"/>
  <c r="M975" i="2"/>
  <c r="L973" i="2"/>
  <c r="K973" i="2"/>
  <c r="J975" i="2"/>
  <c r="H973" i="2"/>
  <c r="G973" i="2"/>
  <c r="F975" i="2"/>
  <c r="E975" i="2"/>
  <c r="D973" i="2"/>
  <c r="O931" i="2"/>
  <c r="N933" i="2"/>
  <c r="M931" i="2"/>
  <c r="L931" i="2"/>
  <c r="K931" i="2"/>
  <c r="J933" i="2"/>
  <c r="H931" i="2"/>
  <c r="G931" i="2"/>
  <c r="F933" i="2"/>
  <c r="E931" i="2"/>
  <c r="D931" i="2"/>
  <c r="O889" i="2"/>
  <c r="N891" i="2"/>
  <c r="M891" i="2"/>
  <c r="L889" i="2"/>
  <c r="K889" i="2"/>
  <c r="J891" i="2"/>
  <c r="H889" i="2"/>
  <c r="G889" i="2"/>
  <c r="F891" i="2"/>
  <c r="E891" i="2"/>
  <c r="D889" i="2"/>
  <c r="O851" i="2"/>
  <c r="M851" i="2"/>
  <c r="G851" i="2"/>
  <c r="O847" i="2"/>
  <c r="N849" i="2"/>
  <c r="M849" i="2"/>
  <c r="L847" i="2"/>
  <c r="K847" i="2"/>
  <c r="J849" i="2"/>
  <c r="H847" i="2"/>
  <c r="G847" i="2"/>
  <c r="F849" i="2"/>
  <c r="E849" i="2"/>
  <c r="D847" i="2"/>
  <c r="F809" i="2"/>
  <c r="O805" i="2"/>
  <c r="L807" i="2"/>
  <c r="K807" i="2"/>
  <c r="J805" i="2"/>
  <c r="H805" i="2"/>
  <c r="G805" i="2"/>
  <c r="F805" i="2"/>
  <c r="E805" i="2"/>
  <c r="O763" i="2"/>
  <c r="N765" i="2"/>
  <c r="L763" i="2"/>
  <c r="J765" i="2"/>
  <c r="H763" i="2"/>
  <c r="F765" i="2"/>
  <c r="D763" i="2"/>
  <c r="O721" i="2"/>
  <c r="N721" i="2"/>
  <c r="M721" i="2"/>
  <c r="L721" i="2"/>
  <c r="K723" i="2"/>
  <c r="J721" i="2"/>
  <c r="H721" i="2"/>
  <c r="G721" i="2"/>
  <c r="F721" i="2"/>
  <c r="E721" i="2"/>
  <c r="D721" i="2"/>
  <c r="O679" i="2"/>
  <c r="N681" i="2"/>
  <c r="M681" i="2"/>
  <c r="L679" i="2"/>
  <c r="K679" i="2"/>
  <c r="J681" i="2"/>
  <c r="H679" i="2"/>
  <c r="G679" i="2"/>
  <c r="F681" i="2"/>
  <c r="E681" i="2"/>
  <c r="D679" i="2"/>
  <c r="O641" i="2"/>
  <c r="H641" i="2"/>
  <c r="G641" i="2"/>
  <c r="O637" i="2"/>
  <c r="N639" i="2"/>
  <c r="M639" i="2"/>
  <c r="L637" i="2"/>
  <c r="K637" i="2"/>
  <c r="J639" i="2"/>
  <c r="H637" i="2"/>
  <c r="G637" i="2"/>
  <c r="F639" i="2"/>
  <c r="E639" i="2"/>
  <c r="D637" i="2"/>
  <c r="J599" i="2"/>
  <c r="O595" i="2"/>
  <c r="N597" i="2"/>
  <c r="M597" i="2"/>
  <c r="L595" i="2"/>
  <c r="K595" i="2"/>
  <c r="J597" i="2"/>
  <c r="H595" i="2"/>
  <c r="G595" i="2"/>
  <c r="F597" i="2"/>
  <c r="E597" i="2"/>
  <c r="D595" i="2"/>
  <c r="O511" i="2"/>
  <c r="N513" i="2"/>
  <c r="M513" i="2"/>
  <c r="K511" i="2"/>
  <c r="G511" i="2"/>
  <c r="E513" i="2"/>
  <c r="O469" i="2"/>
  <c r="N471" i="2"/>
  <c r="M471" i="2"/>
  <c r="K469" i="2"/>
  <c r="G469" i="2"/>
  <c r="E471" i="2"/>
  <c r="O427" i="2"/>
  <c r="N429" i="2"/>
  <c r="M429" i="2"/>
  <c r="L427" i="2"/>
  <c r="K427" i="2"/>
  <c r="J429" i="2"/>
  <c r="H427" i="2"/>
  <c r="G427" i="2"/>
  <c r="F429" i="2"/>
  <c r="E429" i="2"/>
  <c r="D427" i="2"/>
  <c r="J389" i="2"/>
  <c r="G389" i="2"/>
  <c r="O385" i="2"/>
  <c r="N387" i="2"/>
  <c r="M387" i="2"/>
  <c r="L385" i="2"/>
  <c r="K385" i="2"/>
  <c r="J387" i="2"/>
  <c r="H385" i="2"/>
  <c r="G385" i="2"/>
  <c r="F387" i="2"/>
  <c r="E387" i="2"/>
  <c r="D385" i="2"/>
  <c r="H347" i="2"/>
  <c r="O343" i="2"/>
  <c r="N345" i="2"/>
  <c r="M345" i="2"/>
  <c r="L343" i="2"/>
  <c r="K343" i="2"/>
  <c r="J345" i="2"/>
  <c r="H343" i="2"/>
  <c r="G343" i="2"/>
  <c r="F345" i="2"/>
  <c r="E345" i="2"/>
  <c r="D343" i="2"/>
  <c r="O301" i="2"/>
  <c r="N303" i="2"/>
  <c r="M303" i="2"/>
  <c r="K301" i="2"/>
  <c r="G301" i="2"/>
  <c r="E301" i="2"/>
  <c r="O263" i="2"/>
  <c r="L263" i="2"/>
  <c r="H263" i="2"/>
  <c r="F263" i="2"/>
  <c r="E263" i="2"/>
  <c r="D263" i="2"/>
  <c r="O259" i="2"/>
  <c r="N261" i="2"/>
  <c r="M259" i="2"/>
  <c r="K259" i="2"/>
  <c r="G259" i="2"/>
  <c r="E259" i="2"/>
  <c r="G221" i="2"/>
  <c r="O217" i="2"/>
  <c r="K215" i="2"/>
  <c r="G219" i="2"/>
  <c r="O175" i="2"/>
  <c r="N175" i="2"/>
  <c r="M175" i="2"/>
  <c r="L175" i="2"/>
  <c r="K175" i="2"/>
  <c r="J177" i="2"/>
  <c r="H175" i="2"/>
  <c r="G175" i="2"/>
  <c r="F177" i="2"/>
  <c r="D175" i="2"/>
  <c r="O133" i="2"/>
  <c r="N135" i="2"/>
  <c r="M135" i="2"/>
  <c r="L133" i="2"/>
  <c r="K133" i="2"/>
  <c r="J135" i="2"/>
  <c r="H133" i="2"/>
  <c r="G133" i="2"/>
  <c r="F135" i="2"/>
  <c r="E135" i="2"/>
  <c r="D133" i="2"/>
  <c r="H95" i="2"/>
  <c r="O91" i="2"/>
  <c r="N89" i="2"/>
  <c r="M91" i="2"/>
  <c r="K91" i="2"/>
  <c r="J89" i="2"/>
  <c r="H93" i="2"/>
  <c r="G91" i="2"/>
  <c r="F89" i="2"/>
  <c r="E91" i="2"/>
  <c r="O431" i="2" l="1"/>
  <c r="O599" i="2"/>
  <c r="O767" i="2"/>
  <c r="O935" i="2"/>
  <c r="O1103" i="2"/>
  <c r="O1271" i="2"/>
  <c r="O95" i="2"/>
  <c r="O137" i="2"/>
  <c r="O305" i="2"/>
  <c r="O473" i="2"/>
  <c r="O809" i="2"/>
  <c r="O977" i="2"/>
  <c r="O1145" i="2"/>
  <c r="O1313" i="2"/>
  <c r="O179" i="2"/>
  <c r="O347" i="2"/>
  <c r="O515" i="2"/>
  <c r="O683" i="2"/>
  <c r="O1019" i="2"/>
  <c r="O1187" i="2"/>
  <c r="O1355" i="2"/>
  <c r="O221" i="2"/>
  <c r="O389" i="2"/>
  <c r="O725" i="2"/>
  <c r="O893" i="2"/>
  <c r="O1061" i="2"/>
  <c r="N851" i="2"/>
  <c r="N1019" i="2"/>
  <c r="N599" i="2"/>
  <c r="N1271" i="2"/>
  <c r="D1015" i="2"/>
  <c r="H1015" i="2"/>
  <c r="L1015" i="2"/>
  <c r="G263" i="2"/>
  <c r="F683" i="2"/>
  <c r="J935" i="2"/>
  <c r="H431" i="2"/>
  <c r="H599" i="2"/>
  <c r="H683" i="2"/>
  <c r="G137" i="2"/>
  <c r="F389" i="2"/>
  <c r="H767" i="2"/>
  <c r="G305" i="2"/>
  <c r="F1145" i="2"/>
  <c r="J1229" i="2"/>
  <c r="F1355" i="2"/>
  <c r="F893" i="2"/>
  <c r="E175" i="2"/>
  <c r="M137" i="2"/>
  <c r="D217" i="2"/>
  <c r="H217" i="2"/>
  <c r="L217" i="2"/>
  <c r="G215" i="2"/>
  <c r="F641" i="2"/>
  <c r="J641" i="2"/>
  <c r="J683" i="2"/>
  <c r="F935" i="2"/>
  <c r="H1061" i="2"/>
  <c r="L1061" i="2"/>
  <c r="J1187" i="2"/>
  <c r="E217" i="2"/>
  <c r="F431" i="2"/>
  <c r="J431" i="2"/>
  <c r="H893" i="2"/>
  <c r="F977" i="2"/>
  <c r="J977" i="2"/>
  <c r="E1101" i="2"/>
  <c r="F1271" i="2"/>
  <c r="J1271" i="2"/>
  <c r="J1355" i="2"/>
  <c r="E137" i="2"/>
  <c r="F599" i="2"/>
  <c r="F767" i="2"/>
  <c r="J767" i="2"/>
  <c r="E221" i="2"/>
  <c r="F347" i="2"/>
  <c r="J347" i="2"/>
  <c r="F851" i="2"/>
  <c r="J851" i="2"/>
  <c r="J893" i="2"/>
  <c r="H977" i="2"/>
  <c r="J1145" i="2"/>
  <c r="G809" i="2"/>
  <c r="K809" i="2"/>
  <c r="L977" i="2"/>
  <c r="D1019" i="2"/>
  <c r="E1103" i="2"/>
  <c r="H1271" i="2"/>
  <c r="L1271" i="2"/>
  <c r="G95" i="2"/>
  <c r="L95" i="2"/>
  <c r="K137" i="2"/>
  <c r="F179" i="2"/>
  <c r="J179" i="2"/>
  <c r="F217" i="2"/>
  <c r="J217" i="2"/>
  <c r="K263" i="2"/>
  <c r="E305" i="2"/>
  <c r="M305" i="2"/>
  <c r="L347" i="2"/>
  <c r="L431" i="2"/>
  <c r="E473" i="2"/>
  <c r="E515" i="2"/>
  <c r="L599" i="2"/>
  <c r="L641" i="2"/>
  <c r="G725" i="2"/>
  <c r="K725" i="2"/>
  <c r="H851" i="2"/>
  <c r="L851" i="2"/>
  <c r="G1099" i="2"/>
  <c r="K1099" i="2"/>
  <c r="H1187" i="2"/>
  <c r="L1187" i="2"/>
  <c r="G1313" i="2"/>
  <c r="K1313" i="2"/>
  <c r="K95" i="2"/>
  <c r="G217" i="2"/>
  <c r="K217" i="2"/>
  <c r="M221" i="2"/>
  <c r="K219" i="2"/>
  <c r="K221" i="2"/>
  <c r="L767" i="2"/>
  <c r="H935" i="2"/>
  <c r="L935" i="2"/>
  <c r="G1015" i="2"/>
  <c r="K1015" i="2"/>
  <c r="F1019" i="2"/>
  <c r="J1019" i="2"/>
  <c r="G1103" i="2"/>
  <c r="K1103" i="2"/>
  <c r="H1229" i="2"/>
  <c r="L1229" i="2"/>
  <c r="D1351" i="2"/>
  <c r="H1355" i="2"/>
  <c r="L1355" i="2"/>
  <c r="F95" i="2"/>
  <c r="J95" i="2"/>
  <c r="H179" i="2"/>
  <c r="L179" i="2"/>
  <c r="K305" i="2"/>
  <c r="H389" i="2"/>
  <c r="L389" i="2"/>
  <c r="G515" i="2"/>
  <c r="K515" i="2"/>
  <c r="L683" i="2"/>
  <c r="L893" i="2"/>
  <c r="H1145" i="2"/>
  <c r="L1145" i="2"/>
  <c r="F1187" i="2"/>
  <c r="O1101" i="2"/>
  <c r="N137" i="2"/>
  <c r="N473" i="2"/>
  <c r="N1103" i="2"/>
  <c r="N1313" i="2"/>
  <c r="N217" i="2"/>
  <c r="N221" i="2"/>
  <c r="N1101" i="2"/>
  <c r="N1187" i="2"/>
  <c r="N893" i="2"/>
  <c r="N1309" i="2"/>
  <c r="N515" i="2"/>
  <c r="N935" i="2"/>
  <c r="N1355" i="2"/>
  <c r="N179" i="2"/>
  <c r="N263" i="2"/>
  <c r="N347" i="2"/>
  <c r="N431" i="2"/>
  <c r="N641" i="2"/>
  <c r="N805" i="2"/>
  <c r="N1017" i="2"/>
  <c r="N1311" i="2"/>
  <c r="N725" i="2"/>
  <c r="N767" i="2"/>
  <c r="N809" i="2"/>
  <c r="N977" i="2"/>
  <c r="N1061" i="2"/>
  <c r="N1145" i="2"/>
  <c r="N1229" i="2"/>
  <c r="N95" i="2"/>
  <c r="N305" i="2"/>
  <c r="N389" i="2"/>
  <c r="N683" i="2"/>
  <c r="N803" i="2"/>
  <c r="M1103" i="2"/>
  <c r="M219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M473" i="2"/>
  <c r="M515" i="2"/>
  <c r="M263" i="2"/>
  <c r="P727" i="2"/>
  <c r="M805" i="2"/>
  <c r="M1099" i="2"/>
  <c r="N807" i="2"/>
  <c r="N1013" i="2"/>
  <c r="P96" i="2"/>
  <c r="P99" i="2"/>
  <c r="P101" i="2"/>
  <c r="P103" i="2"/>
  <c r="Q103" i="2" s="1"/>
  <c r="P105" i="2"/>
  <c r="P108" i="2"/>
  <c r="P97" i="2"/>
  <c r="P98" i="2"/>
  <c r="P100" i="2"/>
  <c r="P102" i="2"/>
  <c r="P104" i="2"/>
  <c r="P106" i="2"/>
  <c r="Q106" i="2" s="1"/>
  <c r="P107" i="2"/>
  <c r="N719" i="2"/>
  <c r="P138" i="2"/>
  <c r="P139" i="2"/>
  <c r="P140" i="2"/>
  <c r="P141" i="2"/>
  <c r="P142" i="2"/>
  <c r="P143" i="2"/>
  <c r="P144" i="2"/>
  <c r="P145" i="2"/>
  <c r="Q145" i="2" s="1"/>
  <c r="P146" i="2"/>
  <c r="P147" i="2"/>
  <c r="P148" i="2"/>
  <c r="P149" i="2"/>
  <c r="P150" i="2"/>
  <c r="P151" i="2"/>
  <c r="N723" i="2"/>
  <c r="P1026" i="2"/>
  <c r="P558" i="2"/>
  <c r="P559" i="2"/>
  <c r="P560" i="2"/>
  <c r="P561" i="2"/>
  <c r="P562" i="2"/>
  <c r="P563" i="2"/>
  <c r="P564" i="2"/>
  <c r="P565" i="2"/>
  <c r="Q565" i="2" s="1"/>
  <c r="P566" i="2"/>
  <c r="P567" i="2"/>
  <c r="P568" i="2"/>
  <c r="P569" i="2"/>
  <c r="P570" i="2"/>
  <c r="P571" i="2"/>
  <c r="D93" i="2"/>
  <c r="D91" i="2"/>
  <c r="L93" i="2"/>
  <c r="E89" i="2"/>
  <c r="F137" i="2"/>
  <c r="J137" i="2"/>
  <c r="L89" i="2"/>
  <c r="E95" i="2"/>
  <c r="M95" i="2"/>
  <c r="E173" i="2"/>
  <c r="M173" i="2"/>
  <c r="E177" i="2"/>
  <c r="M177" i="2"/>
  <c r="E179" i="2"/>
  <c r="M179" i="2"/>
  <c r="O215" i="2"/>
  <c r="O219" i="2"/>
  <c r="D259" i="2"/>
  <c r="H259" i="2"/>
  <c r="L259" i="2"/>
  <c r="G257" i="2"/>
  <c r="K261" i="2"/>
  <c r="J263" i="2"/>
  <c r="P264" i="2"/>
  <c r="P265" i="2"/>
  <c r="P266" i="2"/>
  <c r="Q266" i="2" s="1"/>
  <c r="P267" i="2"/>
  <c r="P268" i="2"/>
  <c r="Q268" i="2" s="1"/>
  <c r="P269" i="2"/>
  <c r="P109" i="2"/>
  <c r="D137" i="2"/>
  <c r="H137" i="2"/>
  <c r="L137" i="2"/>
  <c r="P180" i="2"/>
  <c r="P181" i="2"/>
  <c r="P182" i="2"/>
  <c r="P183" i="2"/>
  <c r="P184" i="2"/>
  <c r="P185" i="2"/>
  <c r="P186" i="2"/>
  <c r="P187" i="2"/>
  <c r="Q187" i="2" s="1"/>
  <c r="P188" i="2"/>
  <c r="P189" i="2"/>
  <c r="P190" i="2"/>
  <c r="P191" i="2"/>
  <c r="Q191" i="2" s="1"/>
  <c r="P192" i="2"/>
  <c r="P193" i="2"/>
  <c r="D221" i="2"/>
  <c r="H221" i="2"/>
  <c r="L221" i="2"/>
  <c r="K257" i="2"/>
  <c r="O261" i="2"/>
  <c r="D89" i="2"/>
  <c r="E93" i="2"/>
  <c r="M93" i="2"/>
  <c r="G179" i="2"/>
  <c r="K179" i="2"/>
  <c r="F261" i="2"/>
  <c r="J261" i="2"/>
  <c r="O257" i="2"/>
  <c r="H91" i="2"/>
  <c r="M89" i="2"/>
  <c r="H89" i="2"/>
  <c r="D95" i="2"/>
  <c r="D179" i="2"/>
  <c r="F215" i="2"/>
  <c r="J215" i="2"/>
  <c r="N215" i="2"/>
  <c r="F219" i="2"/>
  <c r="J219" i="2"/>
  <c r="N219" i="2"/>
  <c r="F221" i="2"/>
  <c r="J221" i="2"/>
  <c r="G261" i="2"/>
  <c r="P270" i="2"/>
  <c r="P271" i="2"/>
  <c r="Q271" i="2" s="1"/>
  <c r="P272" i="2"/>
  <c r="P273" i="2"/>
  <c r="Q273" i="2" s="1"/>
  <c r="P274" i="2"/>
  <c r="Q274" i="2" s="1"/>
  <c r="P275" i="2"/>
  <c r="Q275" i="2" s="1"/>
  <c r="P276" i="2"/>
  <c r="P277" i="2"/>
  <c r="Q277" i="2" s="1"/>
  <c r="D301" i="2"/>
  <c r="H301" i="2"/>
  <c r="L301" i="2"/>
  <c r="G299" i="2"/>
  <c r="K303" i="2"/>
  <c r="F305" i="2"/>
  <c r="J305" i="2"/>
  <c r="P306" i="2"/>
  <c r="P307" i="2"/>
  <c r="P308" i="2"/>
  <c r="P309" i="2"/>
  <c r="P310" i="2"/>
  <c r="P311" i="2"/>
  <c r="P312" i="2"/>
  <c r="P313" i="2"/>
  <c r="P314" i="2"/>
  <c r="P315" i="2"/>
  <c r="Q315" i="2" s="1"/>
  <c r="P316" i="2"/>
  <c r="P317" i="2"/>
  <c r="P318" i="2"/>
  <c r="P319" i="2"/>
  <c r="D347" i="2"/>
  <c r="P390" i="2"/>
  <c r="P391" i="2"/>
  <c r="P392" i="2"/>
  <c r="P393" i="2"/>
  <c r="P394" i="2"/>
  <c r="P395" i="2"/>
  <c r="P396" i="2"/>
  <c r="Q396" i="2" s="1"/>
  <c r="P397" i="2"/>
  <c r="P398" i="2"/>
  <c r="P399" i="2"/>
  <c r="Q399" i="2" s="1"/>
  <c r="P400" i="2"/>
  <c r="P401" i="2"/>
  <c r="P402" i="2"/>
  <c r="P403" i="2"/>
  <c r="D431" i="2"/>
  <c r="F471" i="2"/>
  <c r="J471" i="2"/>
  <c r="O467" i="2"/>
  <c r="G473" i="2"/>
  <c r="K473" i="2"/>
  <c r="D473" i="2"/>
  <c r="H473" i="2"/>
  <c r="L473" i="2"/>
  <c r="P474" i="2"/>
  <c r="P475" i="2"/>
  <c r="P476" i="2"/>
  <c r="P477" i="2"/>
  <c r="P478" i="2"/>
  <c r="P479" i="2"/>
  <c r="P480" i="2"/>
  <c r="P481" i="2"/>
  <c r="P482" i="2"/>
  <c r="P483" i="2"/>
  <c r="P484" i="2"/>
  <c r="P485" i="2"/>
  <c r="P486" i="2"/>
  <c r="P487" i="2"/>
  <c r="D511" i="2"/>
  <c r="H511" i="2"/>
  <c r="L511" i="2"/>
  <c r="G509" i="2"/>
  <c r="K513" i="2"/>
  <c r="F515" i="2"/>
  <c r="J515" i="2"/>
  <c r="P516" i="2"/>
  <c r="P517" i="2"/>
  <c r="P518" i="2"/>
  <c r="P519" i="2"/>
  <c r="P520" i="2"/>
  <c r="P521" i="2"/>
  <c r="P522" i="2"/>
  <c r="P523" i="2"/>
  <c r="P524" i="2"/>
  <c r="P525" i="2"/>
  <c r="P526" i="2"/>
  <c r="P527" i="2"/>
  <c r="P528" i="2"/>
  <c r="P529" i="2"/>
  <c r="K299" i="2"/>
  <c r="O303" i="2"/>
  <c r="E347" i="2"/>
  <c r="M347" i="2"/>
  <c r="K389" i="2"/>
  <c r="E425" i="2"/>
  <c r="M425" i="2"/>
  <c r="E431" i="2"/>
  <c r="M431" i="2"/>
  <c r="G471" i="2"/>
  <c r="K509" i="2"/>
  <c r="O513" i="2"/>
  <c r="F303" i="2"/>
  <c r="J303" i="2"/>
  <c r="O299" i="2"/>
  <c r="D305" i="2"/>
  <c r="H305" i="2"/>
  <c r="L305" i="2"/>
  <c r="P348" i="2"/>
  <c r="P349" i="2"/>
  <c r="P350" i="2"/>
  <c r="P351" i="2"/>
  <c r="P352" i="2"/>
  <c r="P353" i="2"/>
  <c r="P354" i="2"/>
  <c r="P355" i="2"/>
  <c r="Q355" i="2" s="1"/>
  <c r="P356" i="2"/>
  <c r="P357" i="2"/>
  <c r="P358" i="2"/>
  <c r="P359" i="2"/>
  <c r="Q359" i="2" s="1"/>
  <c r="P360" i="2"/>
  <c r="P361" i="2"/>
  <c r="D389" i="2"/>
  <c r="P432" i="2"/>
  <c r="P433" i="2"/>
  <c r="P434" i="2"/>
  <c r="P435" i="2"/>
  <c r="P436" i="2"/>
  <c r="P437" i="2"/>
  <c r="P438" i="2"/>
  <c r="P439" i="2"/>
  <c r="Q439" i="2" s="1"/>
  <c r="P440" i="2"/>
  <c r="P441" i="2"/>
  <c r="P442" i="2"/>
  <c r="P443" i="2"/>
  <c r="Q443" i="2" s="1"/>
  <c r="P444" i="2"/>
  <c r="P445" i="2"/>
  <c r="D469" i="2"/>
  <c r="H469" i="2"/>
  <c r="L469" i="2"/>
  <c r="G467" i="2"/>
  <c r="K471" i="2"/>
  <c r="F473" i="2"/>
  <c r="J473" i="2"/>
  <c r="F513" i="2"/>
  <c r="J513" i="2"/>
  <c r="O509" i="2"/>
  <c r="D515" i="2"/>
  <c r="H515" i="2"/>
  <c r="L515" i="2"/>
  <c r="G303" i="2"/>
  <c r="G347" i="2"/>
  <c r="K347" i="2"/>
  <c r="E383" i="2"/>
  <c r="M383" i="2"/>
  <c r="E389" i="2"/>
  <c r="M389" i="2"/>
  <c r="G431" i="2"/>
  <c r="K431" i="2"/>
  <c r="K467" i="2"/>
  <c r="O471" i="2"/>
  <c r="G513" i="2"/>
  <c r="D599" i="2"/>
  <c r="P642" i="2"/>
  <c r="P643" i="2"/>
  <c r="P644" i="2"/>
  <c r="P645" i="2"/>
  <c r="P646" i="2"/>
  <c r="P647" i="2"/>
  <c r="P648" i="2"/>
  <c r="P649" i="2"/>
  <c r="P650" i="2"/>
  <c r="P651" i="2"/>
  <c r="P652" i="2"/>
  <c r="P653" i="2"/>
  <c r="P654" i="2"/>
  <c r="P655" i="2"/>
  <c r="D683" i="2"/>
  <c r="F719" i="2"/>
  <c r="J719" i="2"/>
  <c r="M719" i="2"/>
  <c r="F723" i="2"/>
  <c r="J723" i="2"/>
  <c r="M723" i="2"/>
  <c r="E765" i="2"/>
  <c r="M765" i="2"/>
  <c r="M761" i="2"/>
  <c r="D767" i="2"/>
  <c r="F803" i="2"/>
  <c r="J803" i="2"/>
  <c r="M803" i="2"/>
  <c r="J807" i="2"/>
  <c r="M807" i="2"/>
  <c r="E599" i="2"/>
  <c r="M599" i="2"/>
  <c r="K641" i="2"/>
  <c r="E677" i="2"/>
  <c r="M677" i="2"/>
  <c r="E683" i="2"/>
  <c r="M683" i="2"/>
  <c r="F761" i="2"/>
  <c r="J761" i="2"/>
  <c r="E767" i="2"/>
  <c r="M767" i="2"/>
  <c r="K851" i="2"/>
  <c r="P600" i="2"/>
  <c r="P601" i="2"/>
  <c r="P602" i="2"/>
  <c r="Q602" i="2" s="1"/>
  <c r="P603" i="2"/>
  <c r="P604" i="2"/>
  <c r="P605" i="2"/>
  <c r="P606" i="2"/>
  <c r="P607" i="2"/>
  <c r="Q607" i="2" s="1"/>
  <c r="P608" i="2"/>
  <c r="P609" i="2"/>
  <c r="Q609" i="2" s="1"/>
  <c r="P610" i="2"/>
  <c r="P611" i="2"/>
  <c r="P612" i="2"/>
  <c r="P613" i="2"/>
  <c r="D641" i="2"/>
  <c r="P684" i="2"/>
  <c r="P685" i="2"/>
  <c r="P686" i="2"/>
  <c r="Q686" i="2" s="1"/>
  <c r="P687" i="2"/>
  <c r="P688" i="2"/>
  <c r="P689" i="2"/>
  <c r="P690" i="2"/>
  <c r="P691" i="2"/>
  <c r="Q691" i="2" s="1"/>
  <c r="P692" i="2"/>
  <c r="P693" i="2"/>
  <c r="Q693" i="2" s="1"/>
  <c r="P694" i="2"/>
  <c r="P695" i="2"/>
  <c r="P696" i="2"/>
  <c r="P697" i="2"/>
  <c r="Q697" i="2" s="1"/>
  <c r="E719" i="2"/>
  <c r="E723" i="2"/>
  <c r="D725" i="2"/>
  <c r="H725" i="2"/>
  <c r="L725" i="2"/>
  <c r="P726" i="2"/>
  <c r="G763" i="2"/>
  <c r="K763" i="2"/>
  <c r="P768" i="2"/>
  <c r="P769" i="2"/>
  <c r="P770" i="2"/>
  <c r="P771" i="2"/>
  <c r="P772" i="2"/>
  <c r="P773" i="2"/>
  <c r="P774" i="2"/>
  <c r="P775" i="2"/>
  <c r="P776" i="2"/>
  <c r="P777" i="2"/>
  <c r="Q777" i="2" s="1"/>
  <c r="P778" i="2"/>
  <c r="P779" i="2"/>
  <c r="P780" i="2"/>
  <c r="P781" i="2"/>
  <c r="E803" i="2"/>
  <c r="E807" i="2"/>
  <c r="H809" i="2"/>
  <c r="L809" i="2"/>
  <c r="P810" i="2"/>
  <c r="Q810" i="2" s="1"/>
  <c r="P811" i="2"/>
  <c r="P812" i="2"/>
  <c r="P813" i="2"/>
  <c r="P814" i="2"/>
  <c r="P815" i="2"/>
  <c r="P816" i="2"/>
  <c r="P817" i="2"/>
  <c r="P818" i="2"/>
  <c r="P819" i="2"/>
  <c r="P820" i="2"/>
  <c r="P821" i="2"/>
  <c r="P822" i="2"/>
  <c r="P823" i="2"/>
  <c r="G599" i="2"/>
  <c r="K599" i="2"/>
  <c r="E641" i="2"/>
  <c r="M641" i="2"/>
  <c r="G683" i="2"/>
  <c r="K683" i="2"/>
  <c r="E725" i="2"/>
  <c r="M725" i="2"/>
  <c r="P728" i="2"/>
  <c r="P729" i="2"/>
  <c r="P730" i="2"/>
  <c r="P731" i="2"/>
  <c r="P732" i="2"/>
  <c r="P733" i="2"/>
  <c r="Q733" i="2" s="1"/>
  <c r="P734" i="2"/>
  <c r="P735" i="2"/>
  <c r="P736" i="2"/>
  <c r="P737" i="2"/>
  <c r="P738" i="2"/>
  <c r="P739" i="2"/>
  <c r="N761" i="2"/>
  <c r="G767" i="2"/>
  <c r="K767" i="2"/>
  <c r="E809" i="2"/>
  <c r="M809" i="2"/>
  <c r="E851" i="2"/>
  <c r="G893" i="2"/>
  <c r="K893" i="2"/>
  <c r="E929" i="2"/>
  <c r="M929" i="2"/>
  <c r="E933" i="2"/>
  <c r="M933" i="2"/>
  <c r="E935" i="2"/>
  <c r="M935" i="2"/>
  <c r="G977" i="2"/>
  <c r="K977" i="2"/>
  <c r="E1017" i="2"/>
  <c r="M1017" i="2"/>
  <c r="G1013" i="2"/>
  <c r="O1013" i="2"/>
  <c r="P1020" i="2"/>
  <c r="P1021" i="2"/>
  <c r="P1022" i="2"/>
  <c r="P1023" i="2"/>
  <c r="P1024" i="2"/>
  <c r="P1025" i="2"/>
  <c r="G1061" i="2"/>
  <c r="K1061" i="2"/>
  <c r="P852" i="2"/>
  <c r="P853" i="2"/>
  <c r="P854" i="2"/>
  <c r="P855" i="2"/>
  <c r="P856" i="2"/>
  <c r="P857" i="2"/>
  <c r="P858" i="2"/>
  <c r="P859" i="2"/>
  <c r="Q859" i="2" s="1"/>
  <c r="P860" i="2"/>
  <c r="P861" i="2"/>
  <c r="P862" i="2"/>
  <c r="P863" i="2"/>
  <c r="P864" i="2"/>
  <c r="P865" i="2"/>
  <c r="Q865" i="2" s="1"/>
  <c r="D893" i="2"/>
  <c r="P936" i="2"/>
  <c r="P937" i="2"/>
  <c r="P938" i="2"/>
  <c r="P939" i="2"/>
  <c r="P940" i="2"/>
  <c r="P941" i="2"/>
  <c r="P942" i="2"/>
  <c r="P943" i="2"/>
  <c r="Q943" i="2" s="1"/>
  <c r="P944" i="2"/>
  <c r="P945" i="2"/>
  <c r="P946" i="2"/>
  <c r="P947" i="2"/>
  <c r="P948" i="2"/>
  <c r="P949" i="2"/>
  <c r="D977" i="2"/>
  <c r="F1017" i="2"/>
  <c r="J1017" i="2"/>
  <c r="J1013" i="2"/>
  <c r="H1019" i="2"/>
  <c r="L1019" i="2"/>
  <c r="G1017" i="2"/>
  <c r="P1027" i="2"/>
  <c r="Q1027" i="2" s="1"/>
  <c r="P1028" i="2"/>
  <c r="P1029" i="2"/>
  <c r="P1030" i="2"/>
  <c r="P1031" i="2"/>
  <c r="P1032" i="2"/>
  <c r="P1033" i="2"/>
  <c r="D1061" i="2"/>
  <c r="P1062" i="2"/>
  <c r="P1063" i="2"/>
  <c r="P1064" i="2"/>
  <c r="P1065" i="2"/>
  <c r="P1066" i="2"/>
  <c r="P1067" i="2"/>
  <c r="P1068" i="2"/>
  <c r="P1069" i="2"/>
  <c r="P1070" i="2"/>
  <c r="P1071" i="2"/>
  <c r="P1072" i="2"/>
  <c r="P1073" i="2"/>
  <c r="Q1073" i="2" s="1"/>
  <c r="P1074" i="2"/>
  <c r="P1075" i="2"/>
  <c r="E887" i="2"/>
  <c r="M887" i="2"/>
  <c r="E893" i="2"/>
  <c r="M893" i="2"/>
  <c r="G935" i="2"/>
  <c r="K935" i="2"/>
  <c r="E977" i="2"/>
  <c r="M977" i="2"/>
  <c r="K1013" i="2"/>
  <c r="K1017" i="2"/>
  <c r="E1055" i="2"/>
  <c r="M1055" i="2"/>
  <c r="E1061" i="2"/>
  <c r="M1061" i="2"/>
  <c r="D851" i="2"/>
  <c r="P894" i="2"/>
  <c r="P895" i="2"/>
  <c r="P896" i="2"/>
  <c r="Q896" i="2" s="1"/>
  <c r="P897" i="2"/>
  <c r="P898" i="2"/>
  <c r="P899" i="2"/>
  <c r="P900" i="2"/>
  <c r="P901" i="2"/>
  <c r="P902" i="2"/>
  <c r="P903" i="2"/>
  <c r="Q903" i="2" s="1"/>
  <c r="P904" i="2"/>
  <c r="Q904" i="2" s="1"/>
  <c r="P905" i="2"/>
  <c r="P906" i="2"/>
  <c r="P907" i="2"/>
  <c r="D935" i="2"/>
  <c r="P978" i="2"/>
  <c r="P979" i="2"/>
  <c r="P980" i="2"/>
  <c r="Q980" i="2" s="1"/>
  <c r="P981" i="2"/>
  <c r="P982" i="2"/>
  <c r="P983" i="2"/>
  <c r="P984" i="2"/>
  <c r="P985" i="2"/>
  <c r="Q985" i="2" s="1"/>
  <c r="P986" i="2"/>
  <c r="P987" i="2"/>
  <c r="P988" i="2"/>
  <c r="Q988" i="2" s="1"/>
  <c r="P989" i="2"/>
  <c r="P990" i="2"/>
  <c r="P991" i="2"/>
  <c r="O1017" i="2"/>
  <c r="G1101" i="2"/>
  <c r="G1145" i="2"/>
  <c r="K1145" i="2"/>
  <c r="E1187" i="2"/>
  <c r="M1187" i="2"/>
  <c r="G1229" i="2"/>
  <c r="K1229" i="2"/>
  <c r="D1099" i="2"/>
  <c r="H1099" i="2"/>
  <c r="L1099" i="2"/>
  <c r="G1097" i="2"/>
  <c r="K1101" i="2"/>
  <c r="F1103" i="2"/>
  <c r="J1103" i="2"/>
  <c r="P1104" i="2"/>
  <c r="P1105" i="2"/>
  <c r="P1106" i="2"/>
  <c r="P1107" i="2"/>
  <c r="Q1107" i="2" s="1"/>
  <c r="P1108" i="2"/>
  <c r="P1109" i="2"/>
  <c r="P1110" i="2"/>
  <c r="P1111" i="2"/>
  <c r="Q1111" i="2" s="1"/>
  <c r="P1112" i="2"/>
  <c r="P1113" i="2"/>
  <c r="P1114" i="2"/>
  <c r="P1115" i="2"/>
  <c r="Q1115" i="2" s="1"/>
  <c r="P1116" i="2"/>
  <c r="P1117" i="2"/>
  <c r="D1145" i="2"/>
  <c r="P1188" i="2"/>
  <c r="P1189" i="2"/>
  <c r="P1190" i="2"/>
  <c r="P1191" i="2"/>
  <c r="P1192" i="2"/>
  <c r="P1193" i="2"/>
  <c r="P1194" i="2"/>
  <c r="P1195" i="2"/>
  <c r="Q1195" i="2" s="1"/>
  <c r="P1196" i="2"/>
  <c r="P1197" i="2"/>
  <c r="Q1197" i="2" s="1"/>
  <c r="P1198" i="2"/>
  <c r="P1199" i="2"/>
  <c r="P1200" i="2"/>
  <c r="P1201" i="2"/>
  <c r="E1145" i="2"/>
  <c r="M1145" i="2"/>
  <c r="G1187" i="2"/>
  <c r="K1187" i="2"/>
  <c r="E1229" i="2"/>
  <c r="M1229" i="2"/>
  <c r="F1101" i="2"/>
  <c r="J1101" i="2"/>
  <c r="O1097" i="2"/>
  <c r="D1103" i="2"/>
  <c r="L1103" i="2"/>
  <c r="P1146" i="2"/>
  <c r="P1147" i="2"/>
  <c r="P1148" i="2"/>
  <c r="P1149" i="2"/>
  <c r="P1150" i="2"/>
  <c r="Q1150" i="2" s="1"/>
  <c r="P1151" i="2"/>
  <c r="P1152" i="2"/>
  <c r="P1153" i="2"/>
  <c r="P1154" i="2"/>
  <c r="P1155" i="2"/>
  <c r="P1156" i="2"/>
  <c r="P1157" i="2"/>
  <c r="P1158" i="2"/>
  <c r="Q1158" i="2" s="1"/>
  <c r="P1159" i="2"/>
  <c r="D1187" i="2"/>
  <c r="P1230" i="2"/>
  <c r="P1231" i="2"/>
  <c r="P1232" i="2"/>
  <c r="P1233" i="2"/>
  <c r="P1234" i="2"/>
  <c r="P1235" i="2"/>
  <c r="P1236" i="2"/>
  <c r="P1237" i="2"/>
  <c r="P1238" i="2"/>
  <c r="P1239" i="2"/>
  <c r="P1240" i="2"/>
  <c r="P1241" i="2"/>
  <c r="P1242" i="2"/>
  <c r="P1243" i="2"/>
  <c r="D1271" i="2"/>
  <c r="F1307" i="2"/>
  <c r="J1307" i="2"/>
  <c r="M1307" i="2"/>
  <c r="M1311" i="2"/>
  <c r="P1356" i="2"/>
  <c r="P1357" i="2"/>
  <c r="P1358" i="2"/>
  <c r="P1359" i="2"/>
  <c r="P1360" i="2"/>
  <c r="P1361" i="2"/>
  <c r="P1362" i="2"/>
  <c r="P1363" i="2"/>
  <c r="Q1363" i="2" s="1"/>
  <c r="P1364" i="2"/>
  <c r="P1365" i="2"/>
  <c r="P1366" i="2"/>
  <c r="P1367" i="2"/>
  <c r="P1368" i="2"/>
  <c r="P1369" i="2"/>
  <c r="E1271" i="2"/>
  <c r="G1355" i="2"/>
  <c r="K1355" i="2"/>
  <c r="D1229" i="2"/>
  <c r="P1272" i="2"/>
  <c r="P1273" i="2"/>
  <c r="P1274" i="2"/>
  <c r="P1275" i="2"/>
  <c r="P1276" i="2"/>
  <c r="P1277" i="2"/>
  <c r="P1278" i="2"/>
  <c r="P1279" i="2"/>
  <c r="P1280" i="2"/>
  <c r="P1281" i="2"/>
  <c r="Q1281" i="2" s="1"/>
  <c r="P1282" i="2"/>
  <c r="P1283" i="2"/>
  <c r="P1284" i="2"/>
  <c r="Q1284" i="2" s="1"/>
  <c r="P1285" i="2"/>
  <c r="E1307" i="2"/>
  <c r="E1311" i="2"/>
  <c r="D1313" i="2"/>
  <c r="H1313" i="2"/>
  <c r="L1313" i="2"/>
  <c r="P1314" i="2"/>
  <c r="P1315" i="2"/>
  <c r="P1316" i="2"/>
  <c r="P1317" i="2"/>
  <c r="P1318" i="2"/>
  <c r="P1319" i="2"/>
  <c r="P1320" i="2"/>
  <c r="P1321" i="2"/>
  <c r="Q1321" i="2" s="1"/>
  <c r="P1322" i="2"/>
  <c r="P1323" i="2"/>
  <c r="P1324" i="2"/>
  <c r="P1325" i="2"/>
  <c r="P1326" i="2"/>
  <c r="P1327" i="2"/>
  <c r="D1355" i="2"/>
  <c r="G1271" i="2"/>
  <c r="K1271" i="2"/>
  <c r="E1313" i="2"/>
  <c r="M1313" i="2"/>
  <c r="E1355" i="2"/>
  <c r="M1355" i="2"/>
  <c r="G1349" i="2"/>
  <c r="K1349" i="2"/>
  <c r="O1349" i="2"/>
  <c r="E1351" i="2"/>
  <c r="M1351" i="2"/>
  <c r="G1353" i="2"/>
  <c r="K1353" i="2"/>
  <c r="O1353" i="2"/>
  <c r="D1349" i="2"/>
  <c r="H1349" i="2"/>
  <c r="L1349" i="2"/>
  <c r="F1351" i="2"/>
  <c r="J1351" i="2"/>
  <c r="N1351" i="2"/>
  <c r="D1353" i="2"/>
  <c r="H1353" i="2"/>
  <c r="L1353" i="2"/>
  <c r="E1349" i="2"/>
  <c r="M1349" i="2"/>
  <c r="F1349" i="2"/>
  <c r="J1349" i="2"/>
  <c r="N1349" i="2"/>
  <c r="G1309" i="2"/>
  <c r="K1309" i="2"/>
  <c r="J1311" i="2"/>
  <c r="G1307" i="2"/>
  <c r="K1307" i="2"/>
  <c r="O1307" i="2"/>
  <c r="O1311" i="2"/>
  <c r="D1309" i="2"/>
  <c r="L1309" i="2"/>
  <c r="F1311" i="2"/>
  <c r="D1307" i="2"/>
  <c r="H1307" i="2"/>
  <c r="L1307" i="2"/>
  <c r="H1311" i="2"/>
  <c r="G1265" i="2"/>
  <c r="K1265" i="2"/>
  <c r="O1265" i="2"/>
  <c r="E1267" i="2"/>
  <c r="M1267" i="2"/>
  <c r="G1269" i="2"/>
  <c r="K1269" i="2"/>
  <c r="O1269" i="2"/>
  <c r="D1265" i="2"/>
  <c r="H1265" i="2"/>
  <c r="L1265" i="2"/>
  <c r="F1267" i="2"/>
  <c r="J1267" i="2"/>
  <c r="N1267" i="2"/>
  <c r="D1269" i="2"/>
  <c r="H1269" i="2"/>
  <c r="L1269" i="2"/>
  <c r="E1265" i="2"/>
  <c r="M1265" i="2"/>
  <c r="F1265" i="2"/>
  <c r="J1265" i="2"/>
  <c r="N1265" i="2"/>
  <c r="G1223" i="2"/>
  <c r="K1223" i="2"/>
  <c r="O1223" i="2"/>
  <c r="E1225" i="2"/>
  <c r="M1225" i="2"/>
  <c r="G1227" i="2"/>
  <c r="K1227" i="2"/>
  <c r="O1227" i="2"/>
  <c r="D1223" i="2"/>
  <c r="H1223" i="2"/>
  <c r="L1223" i="2"/>
  <c r="F1225" i="2"/>
  <c r="J1225" i="2"/>
  <c r="N1225" i="2"/>
  <c r="D1227" i="2"/>
  <c r="H1227" i="2"/>
  <c r="L1227" i="2"/>
  <c r="E1223" i="2"/>
  <c r="M1223" i="2"/>
  <c r="F1223" i="2"/>
  <c r="J1223" i="2"/>
  <c r="N1223" i="2"/>
  <c r="G1181" i="2"/>
  <c r="K1181" i="2"/>
  <c r="O1181" i="2"/>
  <c r="E1183" i="2"/>
  <c r="M1183" i="2"/>
  <c r="G1185" i="2"/>
  <c r="K1185" i="2"/>
  <c r="O1185" i="2"/>
  <c r="D1181" i="2"/>
  <c r="H1181" i="2"/>
  <c r="L1181" i="2"/>
  <c r="F1183" i="2"/>
  <c r="J1183" i="2"/>
  <c r="N1183" i="2"/>
  <c r="D1185" i="2"/>
  <c r="H1185" i="2"/>
  <c r="L1185" i="2"/>
  <c r="E1181" i="2"/>
  <c r="M1181" i="2"/>
  <c r="F1181" i="2"/>
  <c r="J1181" i="2"/>
  <c r="N1181" i="2"/>
  <c r="G1139" i="2"/>
  <c r="K1139" i="2"/>
  <c r="O1139" i="2"/>
  <c r="E1141" i="2"/>
  <c r="M1141" i="2"/>
  <c r="G1143" i="2"/>
  <c r="K1143" i="2"/>
  <c r="O1143" i="2"/>
  <c r="D1139" i="2"/>
  <c r="H1139" i="2"/>
  <c r="L1139" i="2"/>
  <c r="F1141" i="2"/>
  <c r="J1141" i="2"/>
  <c r="N1141" i="2"/>
  <c r="D1143" i="2"/>
  <c r="H1143" i="2"/>
  <c r="L1143" i="2"/>
  <c r="E1139" i="2"/>
  <c r="M1139" i="2"/>
  <c r="F1139" i="2"/>
  <c r="J1139" i="2"/>
  <c r="N1139" i="2"/>
  <c r="E1099" i="2"/>
  <c r="D1097" i="2"/>
  <c r="H1097" i="2"/>
  <c r="L1097" i="2"/>
  <c r="F1099" i="2"/>
  <c r="J1099" i="2"/>
  <c r="N1099" i="2"/>
  <c r="D1101" i="2"/>
  <c r="H1101" i="2"/>
  <c r="L1101" i="2"/>
  <c r="E1097" i="2"/>
  <c r="M1097" i="2"/>
  <c r="M1101" i="2"/>
  <c r="F1097" i="2"/>
  <c r="J1097" i="2"/>
  <c r="N1097" i="2"/>
  <c r="G1055" i="2"/>
  <c r="K1055" i="2"/>
  <c r="O1055" i="2"/>
  <c r="E1057" i="2"/>
  <c r="M1057" i="2"/>
  <c r="G1059" i="2"/>
  <c r="K1059" i="2"/>
  <c r="O1059" i="2"/>
  <c r="D1055" i="2"/>
  <c r="H1055" i="2"/>
  <c r="L1055" i="2"/>
  <c r="F1057" i="2"/>
  <c r="J1057" i="2"/>
  <c r="N1057" i="2"/>
  <c r="D1059" i="2"/>
  <c r="H1059" i="2"/>
  <c r="L1059" i="2"/>
  <c r="F1055" i="2"/>
  <c r="J1055" i="2"/>
  <c r="N1055" i="2"/>
  <c r="D1013" i="2"/>
  <c r="H1013" i="2"/>
  <c r="L1013" i="2"/>
  <c r="F1015" i="2"/>
  <c r="J1015" i="2"/>
  <c r="N1015" i="2"/>
  <c r="D1017" i="2"/>
  <c r="H1017" i="2"/>
  <c r="L1017" i="2"/>
  <c r="E1015" i="2"/>
  <c r="M1015" i="2"/>
  <c r="E1013" i="2"/>
  <c r="M1013" i="2"/>
  <c r="G971" i="2"/>
  <c r="K971" i="2"/>
  <c r="O971" i="2"/>
  <c r="E973" i="2"/>
  <c r="M973" i="2"/>
  <c r="G975" i="2"/>
  <c r="K975" i="2"/>
  <c r="O975" i="2"/>
  <c r="D971" i="2"/>
  <c r="H971" i="2"/>
  <c r="L971" i="2"/>
  <c r="F973" i="2"/>
  <c r="J973" i="2"/>
  <c r="N973" i="2"/>
  <c r="D975" i="2"/>
  <c r="H975" i="2"/>
  <c r="L975" i="2"/>
  <c r="E971" i="2"/>
  <c r="M971" i="2"/>
  <c r="F971" i="2"/>
  <c r="J971" i="2"/>
  <c r="N971" i="2"/>
  <c r="G929" i="2"/>
  <c r="K929" i="2"/>
  <c r="O929" i="2"/>
  <c r="G933" i="2"/>
  <c r="K933" i="2"/>
  <c r="O933" i="2"/>
  <c r="D929" i="2"/>
  <c r="H929" i="2"/>
  <c r="L929" i="2"/>
  <c r="F931" i="2"/>
  <c r="J931" i="2"/>
  <c r="N931" i="2"/>
  <c r="D933" i="2"/>
  <c r="H933" i="2"/>
  <c r="L933" i="2"/>
  <c r="F929" i="2"/>
  <c r="J929" i="2"/>
  <c r="N929" i="2"/>
  <c r="G887" i="2"/>
  <c r="K887" i="2"/>
  <c r="O887" i="2"/>
  <c r="E889" i="2"/>
  <c r="M889" i="2"/>
  <c r="G891" i="2"/>
  <c r="K891" i="2"/>
  <c r="O891" i="2"/>
  <c r="D887" i="2"/>
  <c r="H887" i="2"/>
  <c r="L887" i="2"/>
  <c r="F889" i="2"/>
  <c r="J889" i="2"/>
  <c r="N889" i="2"/>
  <c r="D891" i="2"/>
  <c r="H891" i="2"/>
  <c r="L891" i="2"/>
  <c r="F887" i="2"/>
  <c r="J887" i="2"/>
  <c r="N887" i="2"/>
  <c r="G845" i="2"/>
  <c r="K845" i="2"/>
  <c r="O845" i="2"/>
  <c r="E847" i="2"/>
  <c r="M847" i="2"/>
  <c r="G849" i="2"/>
  <c r="K849" i="2"/>
  <c r="O849" i="2"/>
  <c r="D845" i="2"/>
  <c r="H845" i="2"/>
  <c r="L845" i="2"/>
  <c r="F847" i="2"/>
  <c r="J847" i="2"/>
  <c r="N847" i="2"/>
  <c r="D849" i="2"/>
  <c r="H849" i="2"/>
  <c r="L849" i="2"/>
  <c r="E845" i="2"/>
  <c r="M845" i="2"/>
  <c r="F845" i="2"/>
  <c r="J845" i="2"/>
  <c r="N845" i="2"/>
  <c r="K805" i="2"/>
  <c r="D805" i="2"/>
  <c r="L805" i="2"/>
  <c r="G803" i="2"/>
  <c r="K803" i="2"/>
  <c r="O803" i="2"/>
  <c r="G807" i="2"/>
  <c r="O807" i="2"/>
  <c r="F807" i="2"/>
  <c r="D809" i="2"/>
  <c r="D803" i="2"/>
  <c r="H803" i="2"/>
  <c r="L803" i="2"/>
  <c r="D807" i="2"/>
  <c r="H807" i="2"/>
  <c r="J809" i="2"/>
  <c r="G761" i="2"/>
  <c r="K761" i="2"/>
  <c r="O761" i="2"/>
  <c r="E763" i="2"/>
  <c r="M763" i="2"/>
  <c r="G765" i="2"/>
  <c r="K765" i="2"/>
  <c r="O765" i="2"/>
  <c r="D761" i="2"/>
  <c r="H761" i="2"/>
  <c r="L761" i="2"/>
  <c r="F763" i="2"/>
  <c r="J763" i="2"/>
  <c r="N763" i="2"/>
  <c r="D765" i="2"/>
  <c r="H765" i="2"/>
  <c r="L765" i="2"/>
  <c r="E761" i="2"/>
  <c r="K721" i="2"/>
  <c r="G719" i="2"/>
  <c r="K719" i="2"/>
  <c r="O719" i="2"/>
  <c r="G723" i="2"/>
  <c r="O723" i="2"/>
  <c r="D719" i="2"/>
  <c r="H719" i="2"/>
  <c r="L719" i="2"/>
  <c r="D723" i="2"/>
  <c r="H723" i="2"/>
  <c r="L723" i="2"/>
  <c r="F725" i="2"/>
  <c r="J725" i="2"/>
  <c r="G677" i="2"/>
  <c r="K677" i="2"/>
  <c r="O677" i="2"/>
  <c r="E679" i="2"/>
  <c r="M679" i="2"/>
  <c r="G681" i="2"/>
  <c r="K681" i="2"/>
  <c r="O681" i="2"/>
  <c r="D677" i="2"/>
  <c r="H677" i="2"/>
  <c r="L677" i="2"/>
  <c r="F679" i="2"/>
  <c r="J679" i="2"/>
  <c r="N679" i="2"/>
  <c r="D681" i="2"/>
  <c r="H681" i="2"/>
  <c r="L681" i="2"/>
  <c r="F677" i="2"/>
  <c r="J677" i="2"/>
  <c r="N677" i="2"/>
  <c r="G635" i="2"/>
  <c r="K635" i="2"/>
  <c r="O635" i="2"/>
  <c r="E637" i="2"/>
  <c r="M637" i="2"/>
  <c r="G639" i="2"/>
  <c r="K639" i="2"/>
  <c r="O639" i="2"/>
  <c r="D635" i="2"/>
  <c r="H635" i="2"/>
  <c r="L635" i="2"/>
  <c r="F637" i="2"/>
  <c r="J637" i="2"/>
  <c r="N637" i="2"/>
  <c r="D639" i="2"/>
  <c r="H639" i="2"/>
  <c r="L639" i="2"/>
  <c r="E635" i="2"/>
  <c r="M635" i="2"/>
  <c r="F635" i="2"/>
  <c r="J635" i="2"/>
  <c r="N635" i="2"/>
  <c r="G593" i="2"/>
  <c r="K593" i="2"/>
  <c r="O593" i="2"/>
  <c r="E595" i="2"/>
  <c r="M595" i="2"/>
  <c r="G597" i="2"/>
  <c r="K597" i="2"/>
  <c r="O597" i="2"/>
  <c r="D593" i="2"/>
  <c r="H593" i="2"/>
  <c r="L593" i="2"/>
  <c r="F595" i="2"/>
  <c r="J595" i="2"/>
  <c r="N595" i="2"/>
  <c r="D597" i="2"/>
  <c r="H597" i="2"/>
  <c r="L597" i="2"/>
  <c r="E593" i="2"/>
  <c r="M593" i="2"/>
  <c r="F593" i="2"/>
  <c r="J593" i="2"/>
  <c r="N593" i="2"/>
  <c r="D509" i="2"/>
  <c r="H509" i="2"/>
  <c r="L509" i="2"/>
  <c r="F511" i="2"/>
  <c r="J511" i="2"/>
  <c r="N511" i="2"/>
  <c r="D513" i="2"/>
  <c r="H513" i="2"/>
  <c r="L513" i="2"/>
  <c r="E511" i="2"/>
  <c r="M511" i="2"/>
  <c r="E509" i="2"/>
  <c r="M509" i="2"/>
  <c r="F509" i="2"/>
  <c r="J509" i="2"/>
  <c r="N509" i="2"/>
  <c r="E469" i="2"/>
  <c r="M469" i="2"/>
  <c r="D467" i="2"/>
  <c r="H467" i="2"/>
  <c r="L467" i="2"/>
  <c r="F469" i="2"/>
  <c r="J469" i="2"/>
  <c r="N469" i="2"/>
  <c r="D471" i="2"/>
  <c r="H471" i="2"/>
  <c r="L471" i="2"/>
  <c r="E467" i="2"/>
  <c r="M467" i="2"/>
  <c r="F467" i="2"/>
  <c r="J467" i="2"/>
  <c r="N467" i="2"/>
  <c r="G425" i="2"/>
  <c r="K425" i="2"/>
  <c r="O425" i="2"/>
  <c r="E427" i="2"/>
  <c r="M427" i="2"/>
  <c r="G429" i="2"/>
  <c r="K429" i="2"/>
  <c r="O429" i="2"/>
  <c r="D425" i="2"/>
  <c r="H425" i="2"/>
  <c r="L425" i="2"/>
  <c r="F427" i="2"/>
  <c r="J427" i="2"/>
  <c r="N427" i="2"/>
  <c r="D429" i="2"/>
  <c r="H429" i="2"/>
  <c r="L429" i="2"/>
  <c r="F425" i="2"/>
  <c r="J425" i="2"/>
  <c r="N425" i="2"/>
  <c r="G383" i="2"/>
  <c r="K383" i="2"/>
  <c r="O383" i="2"/>
  <c r="E385" i="2"/>
  <c r="M385" i="2"/>
  <c r="G387" i="2"/>
  <c r="K387" i="2"/>
  <c r="O387" i="2"/>
  <c r="D383" i="2"/>
  <c r="H383" i="2"/>
  <c r="L383" i="2"/>
  <c r="F385" i="2"/>
  <c r="J385" i="2"/>
  <c r="N385" i="2"/>
  <c r="D387" i="2"/>
  <c r="H387" i="2"/>
  <c r="L387" i="2"/>
  <c r="F383" i="2"/>
  <c r="J383" i="2"/>
  <c r="N383" i="2"/>
  <c r="G341" i="2"/>
  <c r="K341" i="2"/>
  <c r="O341" i="2"/>
  <c r="E343" i="2"/>
  <c r="M343" i="2"/>
  <c r="G345" i="2"/>
  <c r="K345" i="2"/>
  <c r="O345" i="2"/>
  <c r="D341" i="2"/>
  <c r="H341" i="2"/>
  <c r="L341" i="2"/>
  <c r="F343" i="2"/>
  <c r="J343" i="2"/>
  <c r="N343" i="2"/>
  <c r="D345" i="2"/>
  <c r="H345" i="2"/>
  <c r="L345" i="2"/>
  <c r="E341" i="2"/>
  <c r="M341" i="2"/>
  <c r="F341" i="2"/>
  <c r="J341" i="2"/>
  <c r="N341" i="2"/>
  <c r="M301" i="2"/>
  <c r="D299" i="2"/>
  <c r="H299" i="2"/>
  <c r="L299" i="2"/>
  <c r="F301" i="2"/>
  <c r="J301" i="2"/>
  <c r="N301" i="2"/>
  <c r="D303" i="2"/>
  <c r="H303" i="2"/>
  <c r="L303" i="2"/>
  <c r="E299" i="2"/>
  <c r="M299" i="2"/>
  <c r="E303" i="2"/>
  <c r="F299" i="2"/>
  <c r="J299" i="2"/>
  <c r="N299" i="2"/>
  <c r="D257" i="2"/>
  <c r="H257" i="2"/>
  <c r="L257" i="2"/>
  <c r="F259" i="2"/>
  <c r="J259" i="2"/>
  <c r="N259" i="2"/>
  <c r="D261" i="2"/>
  <c r="H261" i="2"/>
  <c r="L261" i="2"/>
  <c r="E257" i="2"/>
  <c r="M257" i="2"/>
  <c r="E261" i="2"/>
  <c r="M261" i="2"/>
  <c r="F257" i="2"/>
  <c r="J257" i="2"/>
  <c r="N257" i="2"/>
  <c r="D215" i="2"/>
  <c r="H215" i="2"/>
  <c r="L215" i="2"/>
  <c r="D219" i="2"/>
  <c r="H219" i="2"/>
  <c r="L219" i="2"/>
  <c r="M217" i="2"/>
  <c r="E215" i="2"/>
  <c r="M215" i="2"/>
  <c r="E219" i="2"/>
  <c r="F173" i="2"/>
  <c r="J173" i="2"/>
  <c r="N173" i="2"/>
  <c r="N177" i="2"/>
  <c r="G173" i="2"/>
  <c r="K173" i="2"/>
  <c r="O173" i="2"/>
  <c r="G177" i="2"/>
  <c r="K177" i="2"/>
  <c r="O177" i="2"/>
  <c r="D173" i="2"/>
  <c r="H173" i="2"/>
  <c r="L173" i="2"/>
  <c r="F175" i="2"/>
  <c r="J175" i="2"/>
  <c r="D177" i="2"/>
  <c r="H177" i="2"/>
  <c r="L177" i="2"/>
  <c r="G131" i="2"/>
  <c r="K131" i="2"/>
  <c r="O131" i="2"/>
  <c r="E133" i="2"/>
  <c r="M133" i="2"/>
  <c r="G135" i="2"/>
  <c r="K135" i="2"/>
  <c r="O135" i="2"/>
  <c r="D131" i="2"/>
  <c r="H131" i="2"/>
  <c r="L131" i="2"/>
  <c r="F133" i="2"/>
  <c r="J133" i="2"/>
  <c r="N133" i="2"/>
  <c r="D135" i="2"/>
  <c r="H135" i="2"/>
  <c r="L135" i="2"/>
  <c r="E131" i="2"/>
  <c r="M131" i="2"/>
  <c r="F131" i="2"/>
  <c r="J131" i="2"/>
  <c r="N131" i="2"/>
  <c r="L91" i="2"/>
  <c r="F93" i="2"/>
  <c r="J93" i="2"/>
  <c r="N93" i="2"/>
  <c r="G89" i="2"/>
  <c r="K89" i="2"/>
  <c r="O89" i="2"/>
  <c r="G93" i="2"/>
  <c r="K93" i="2"/>
  <c r="O93" i="2"/>
  <c r="F91" i="2"/>
  <c r="J91" i="2"/>
  <c r="N91" i="2"/>
  <c r="Q527" i="2" l="1"/>
  <c r="Q564" i="2"/>
  <c r="Q1285" i="2"/>
  <c r="Q567" i="2"/>
  <c r="Q1316" i="2"/>
  <c r="Q1064" i="2"/>
  <c r="Q726" i="2"/>
  <c r="Q739" i="2"/>
  <c r="Q1106" i="2"/>
  <c r="Q984" i="2"/>
  <c r="Q313" i="2"/>
  <c r="Q264" i="2"/>
  <c r="Q1069" i="2"/>
  <c r="Q397" i="2"/>
  <c r="Q1358" i="2"/>
  <c r="Q402" i="2"/>
  <c r="Q98" i="2"/>
  <c r="Q1274" i="2"/>
  <c r="Q696" i="2"/>
  <c r="Q738" i="2"/>
  <c r="Q190" i="2"/>
  <c r="Q182" i="2"/>
  <c r="Q652" i="2"/>
  <c r="Q192" i="2"/>
  <c r="Q1200" i="2"/>
  <c r="Q822" i="2"/>
  <c r="Q1272" i="2"/>
  <c r="Q568" i="2"/>
  <c r="Q814" i="2"/>
  <c r="Q1280" i="2"/>
  <c r="Q987" i="2"/>
  <c r="Q737" i="2"/>
  <c r="Q613" i="2"/>
  <c r="Q605" i="2"/>
  <c r="Q401" i="2"/>
  <c r="Q817" i="2"/>
  <c r="Q392" i="2"/>
  <c r="Q823" i="2"/>
  <c r="Q523" i="2"/>
  <c r="Q1072" i="2"/>
  <c r="Q1198" i="2"/>
  <c r="Q900" i="2"/>
  <c r="Q1154" i="2"/>
  <c r="Q906" i="2"/>
  <c r="Q773" i="2"/>
  <c r="Q1326" i="2"/>
  <c r="Q361" i="2"/>
  <c r="Q108" i="2"/>
  <c r="Q945" i="2"/>
  <c r="Q858" i="2"/>
  <c r="Q1239" i="2"/>
  <c r="Q102" i="2"/>
  <c r="Q1110" i="2"/>
  <c r="Q655" i="2"/>
  <c r="Q276" i="2"/>
  <c r="Q109" i="2"/>
  <c r="Q854" i="2"/>
  <c r="Q651" i="2"/>
  <c r="Q1323" i="2"/>
  <c r="Q690" i="2"/>
  <c r="Q518" i="2"/>
  <c r="Q483" i="2"/>
  <c r="Q1190" i="2"/>
  <c r="Q1113" i="2"/>
  <c r="Q1071" i="2"/>
  <c r="Q728" i="2"/>
  <c r="Q270" i="2"/>
  <c r="Q736" i="2"/>
  <c r="Q732" i="2"/>
  <c r="Q863" i="2"/>
  <c r="Q1237" i="2"/>
  <c r="Q442" i="2"/>
  <c r="Q1026" i="2"/>
  <c r="Q445" i="2"/>
  <c r="Q444" i="2"/>
  <c r="Q991" i="2"/>
  <c r="Q1148" i="2"/>
  <c r="Q1159" i="2"/>
  <c r="Q1324" i="2"/>
  <c r="Q400" i="2"/>
  <c r="Q1116" i="2"/>
  <c r="Q938" i="2"/>
  <c r="Q150" i="2"/>
  <c r="Q476" i="2"/>
  <c r="Q861" i="2"/>
  <c r="Q948" i="2"/>
  <c r="Q438" i="2"/>
  <c r="Q434" i="2"/>
  <c r="Q1320" i="2"/>
  <c r="Q317" i="2"/>
  <c r="Q571" i="2"/>
  <c r="Q358" i="2"/>
  <c r="Q570" i="2"/>
  <c r="Q897" i="2"/>
  <c r="Q862" i="2"/>
  <c r="Q403" i="2"/>
  <c r="Q395" i="2"/>
  <c r="Q815" i="2"/>
  <c r="Q901" i="2"/>
  <c r="Q820" i="2"/>
  <c r="Q819" i="2"/>
  <c r="Q1074" i="2"/>
  <c r="Q936" i="2"/>
  <c r="Q440" i="2"/>
  <c r="Q1194" i="2"/>
  <c r="Q864" i="2"/>
  <c r="Q611" i="2"/>
  <c r="Q562" i="2"/>
  <c r="Q104" i="2"/>
  <c r="Q1152" i="2"/>
  <c r="Q1201" i="2"/>
  <c r="Q902" i="2"/>
  <c r="Q894" i="2"/>
  <c r="Q816" i="2"/>
  <c r="Q812" i="2"/>
  <c r="Q947" i="2"/>
  <c r="Q1108" i="2"/>
  <c r="Q907" i="2"/>
  <c r="Q1199" i="2"/>
  <c r="Q949" i="2"/>
  <c r="Q941" i="2"/>
  <c r="Q860" i="2"/>
  <c r="Q852" i="2"/>
  <c r="Q735" i="2"/>
  <c r="Q600" i="2"/>
  <c r="Q393" i="2"/>
  <c r="Q138" i="2"/>
  <c r="Q107" i="2"/>
  <c r="Q100" i="2"/>
  <c r="Q101" i="2"/>
  <c r="Q234" i="2"/>
  <c r="Q105" i="2"/>
  <c r="Q99" i="2"/>
  <c r="Q144" i="2"/>
  <c r="Q229" i="2"/>
  <c r="Q612" i="2"/>
  <c r="Q604" i="2"/>
  <c r="Q731" i="2"/>
  <c r="Q778" i="2"/>
  <c r="Q148" i="2"/>
  <c r="Q232" i="2"/>
  <c r="Q608" i="2"/>
  <c r="Q1157" i="2"/>
  <c r="Q780" i="2"/>
  <c r="Q772" i="2"/>
  <c r="Q1156" i="2"/>
  <c r="Q779" i="2"/>
  <c r="Q775" i="2"/>
  <c r="Q1325" i="2"/>
  <c r="Q569" i="2"/>
  <c r="Q1155" i="2"/>
  <c r="Q1151" i="2"/>
  <c r="Q1192" i="2"/>
  <c r="Q1188" i="2"/>
  <c r="Q978" i="2"/>
  <c r="Q946" i="2"/>
  <c r="Q942" i="2"/>
  <c r="Q730" i="2"/>
  <c r="Q821" i="2"/>
  <c r="Q695" i="2"/>
  <c r="Q687" i="2"/>
  <c r="Q610" i="2"/>
  <c r="Q606" i="2"/>
  <c r="Q441" i="2"/>
  <c r="Q437" i="2"/>
  <c r="Q360" i="2"/>
  <c r="Q352" i="2"/>
  <c r="Q348" i="2"/>
  <c r="Q516" i="2"/>
  <c r="Q318" i="2"/>
  <c r="Q267" i="2"/>
  <c r="Q188" i="2"/>
  <c r="Q1153" i="2"/>
  <c r="Q1238" i="2"/>
  <c r="Q1240" i="2"/>
  <c r="Q1236" i="2"/>
  <c r="Q1232" i="2"/>
  <c r="Q398" i="2"/>
  <c r="Q394" i="2"/>
  <c r="Q390" i="2"/>
  <c r="Q1243" i="2"/>
  <c r="Q1241" i="2"/>
  <c r="Q1242" i="2"/>
  <c r="Q1234" i="2"/>
  <c r="Q1277" i="2"/>
  <c r="Q357" i="2"/>
  <c r="Q151" i="2"/>
  <c r="Q147" i="2"/>
  <c r="Q235" i="2"/>
  <c r="Q231" i="2"/>
  <c r="Q227" i="2"/>
  <c r="Q1327" i="2"/>
  <c r="Q1319" i="2"/>
  <c r="Q694" i="2"/>
  <c r="Q654" i="2"/>
  <c r="Q648" i="2"/>
  <c r="Q180" i="2"/>
  <c r="Q480" i="2"/>
  <c r="Q688" i="2"/>
  <c r="Q684" i="2"/>
  <c r="Q1367" i="2"/>
  <c r="Q650" i="2"/>
  <c r="Q644" i="2"/>
  <c r="Q990" i="2"/>
  <c r="Q1033" i="2"/>
  <c r="Q193" i="2"/>
  <c r="Q269" i="2"/>
  <c r="Q1029" i="2"/>
  <c r="Q1030" i="2"/>
  <c r="Q646" i="2"/>
  <c r="Q487" i="2"/>
  <c r="Q485" i="2"/>
  <c r="Q1068" i="2"/>
  <c r="Q1282" i="2"/>
  <c r="Q186" i="2"/>
  <c r="Q272" i="2"/>
  <c r="Q316" i="2"/>
  <c r="Q306" i="2"/>
  <c r="Q486" i="2"/>
  <c r="Q481" i="2"/>
  <c r="Q529" i="2"/>
  <c r="Q525" i="2"/>
  <c r="Q649" i="2"/>
  <c r="Q645" i="2"/>
  <c r="Q986" i="2"/>
  <c r="Q1114" i="2"/>
  <c r="Q1283" i="2"/>
  <c r="Q1278" i="2"/>
  <c r="Q1364" i="2"/>
  <c r="Q189" i="2"/>
  <c r="Q184" i="2"/>
  <c r="Q484" i="2"/>
  <c r="Q653" i="2"/>
  <c r="Q647" i="2"/>
  <c r="Q989" i="2"/>
  <c r="Q1032" i="2"/>
  <c r="Q1075" i="2"/>
  <c r="Q1117" i="2"/>
  <c r="Q1109" i="2"/>
  <c r="Q1104" i="2"/>
  <c r="Q1368" i="2"/>
  <c r="Q319" i="2"/>
  <c r="Q526" i="2"/>
  <c r="Q521" i="2"/>
  <c r="Q1031" i="2"/>
  <c r="Q1279" i="2"/>
  <c r="Q1366" i="2"/>
  <c r="Q1356" i="2"/>
  <c r="Q1369" i="2"/>
  <c r="Q1365" i="2"/>
  <c r="Q1022" i="2"/>
  <c r="Q1020" i="2"/>
  <c r="Q642" i="2"/>
  <c r="M51" i="2" l="1"/>
  <c r="H53" i="2"/>
  <c r="M47" i="2"/>
  <c r="O49" i="2"/>
  <c r="N51" i="2"/>
  <c r="M49" i="2"/>
  <c r="L49" i="2"/>
  <c r="K49" i="2"/>
  <c r="J51" i="2"/>
  <c r="H49" i="2"/>
  <c r="G49" i="2"/>
  <c r="F51" i="2"/>
  <c r="O53" i="2" l="1"/>
  <c r="N53" i="2"/>
  <c r="D1402" i="2"/>
  <c r="D1403" i="2"/>
  <c r="D1404" i="2"/>
  <c r="D1405" i="2"/>
  <c r="D1406" i="2"/>
  <c r="D1407" i="2"/>
  <c r="D1408" i="2"/>
  <c r="D1409" i="2"/>
  <c r="D1410" i="2"/>
  <c r="D1411" i="2"/>
  <c r="D1412" i="2"/>
  <c r="D1413" i="2"/>
  <c r="D1416" i="2"/>
  <c r="H1416" i="2"/>
  <c r="L1416" i="2"/>
  <c r="D1417" i="2"/>
  <c r="H1417" i="2"/>
  <c r="L1417" i="2"/>
  <c r="D1418" i="2"/>
  <c r="H1418" i="2"/>
  <c r="L1418" i="2"/>
  <c r="D1419" i="2"/>
  <c r="H1419" i="2"/>
  <c r="L1419" i="2"/>
  <c r="D1420" i="2"/>
  <c r="H1420" i="2"/>
  <c r="L1420" i="2"/>
  <c r="D1421" i="2"/>
  <c r="H1421" i="2"/>
  <c r="L1421" i="2"/>
  <c r="D1422" i="2"/>
  <c r="H1422" i="2"/>
  <c r="L1422" i="2"/>
  <c r="D1423" i="2"/>
  <c r="H1423" i="2"/>
  <c r="L1423" i="2"/>
  <c r="D1424" i="2"/>
  <c r="H1424" i="2"/>
  <c r="L1424" i="2"/>
  <c r="H1425" i="2"/>
  <c r="L1425" i="2"/>
  <c r="H1426" i="2"/>
  <c r="L1426" i="2"/>
  <c r="H1427" i="2"/>
  <c r="L1427" i="2"/>
  <c r="H1428" i="2"/>
  <c r="L1428" i="2"/>
  <c r="H1429" i="2"/>
  <c r="L1429" i="2"/>
  <c r="E1416" i="2"/>
  <c r="M1416" i="2"/>
  <c r="E1417" i="2"/>
  <c r="M1417" i="2"/>
  <c r="E1418" i="2"/>
  <c r="M1418" i="2"/>
  <c r="E1419" i="2"/>
  <c r="M1419" i="2"/>
  <c r="E1420" i="2"/>
  <c r="M1420" i="2"/>
  <c r="E1421" i="2"/>
  <c r="M1421" i="2"/>
  <c r="E1422" i="2"/>
  <c r="M1422" i="2"/>
  <c r="E1423" i="2"/>
  <c r="M1423" i="2"/>
  <c r="E1424" i="2"/>
  <c r="M1424" i="2"/>
  <c r="M1425" i="2"/>
  <c r="M1426" i="2"/>
  <c r="M1427" i="2"/>
  <c r="M1428" i="2"/>
  <c r="M1429" i="2"/>
  <c r="F1416" i="2"/>
  <c r="J1416" i="2"/>
  <c r="N1416" i="2"/>
  <c r="F1417" i="2"/>
  <c r="J1417" i="2"/>
  <c r="N1417" i="2"/>
  <c r="F1418" i="2"/>
  <c r="J1418" i="2"/>
  <c r="N1418" i="2"/>
  <c r="F1419" i="2"/>
  <c r="J1419" i="2"/>
  <c r="N1419" i="2"/>
  <c r="F1420" i="2"/>
  <c r="J1420" i="2"/>
  <c r="N1420" i="2"/>
  <c r="F1421" i="2"/>
  <c r="J1421" i="2"/>
  <c r="N1421" i="2"/>
  <c r="F1422" i="2"/>
  <c r="J1422" i="2"/>
  <c r="N1422" i="2"/>
  <c r="F1423" i="2"/>
  <c r="J1423" i="2"/>
  <c r="N1423" i="2"/>
  <c r="F1424" i="2"/>
  <c r="J1424" i="2"/>
  <c r="N1424" i="2"/>
  <c r="J1425" i="2"/>
  <c r="N1425" i="2"/>
  <c r="J1426" i="2"/>
  <c r="N1426" i="2"/>
  <c r="J1427" i="2"/>
  <c r="N1427" i="2"/>
  <c r="J1428" i="2"/>
  <c r="N1428" i="2"/>
  <c r="J1429" i="2"/>
  <c r="N1429" i="2"/>
  <c r="G1416" i="2"/>
  <c r="K1416" i="2"/>
  <c r="O1416" i="2"/>
  <c r="G1417" i="2"/>
  <c r="K1417" i="2"/>
  <c r="O1417" i="2"/>
  <c r="G1418" i="2"/>
  <c r="K1418" i="2"/>
  <c r="O1418" i="2"/>
  <c r="G1419" i="2"/>
  <c r="K1419" i="2"/>
  <c r="O1419" i="2"/>
  <c r="G1420" i="2"/>
  <c r="K1420" i="2"/>
  <c r="O1420" i="2"/>
  <c r="G1421" i="2"/>
  <c r="K1421" i="2"/>
  <c r="O1421" i="2"/>
  <c r="G1422" i="2"/>
  <c r="K1422" i="2"/>
  <c r="O1422" i="2"/>
  <c r="G1423" i="2"/>
  <c r="K1423" i="2"/>
  <c r="O1423" i="2"/>
  <c r="G1424" i="2"/>
  <c r="K1424" i="2"/>
  <c r="O1424" i="2"/>
  <c r="G1425" i="2"/>
  <c r="K1425" i="2"/>
  <c r="O1425" i="2"/>
  <c r="G1426" i="2"/>
  <c r="K1426" i="2"/>
  <c r="O1426" i="2"/>
  <c r="G1427" i="2"/>
  <c r="K1427" i="2"/>
  <c r="O1427" i="2"/>
  <c r="G1428" i="2"/>
  <c r="K1428" i="2"/>
  <c r="O1428" i="2"/>
  <c r="G1429" i="2"/>
  <c r="K1429" i="2"/>
  <c r="O1429" i="2"/>
  <c r="D49" i="2"/>
  <c r="D53" i="2"/>
  <c r="D1400" i="2"/>
  <c r="D1401" i="2"/>
  <c r="M53" i="2"/>
  <c r="F53" i="2"/>
  <c r="J53" i="2"/>
  <c r="K53" i="2"/>
  <c r="E51" i="2"/>
  <c r="L53" i="2"/>
  <c r="E49" i="2"/>
  <c r="E47" i="2"/>
  <c r="E53" i="2"/>
  <c r="G53" i="2"/>
  <c r="P66" i="2"/>
  <c r="P67" i="2"/>
  <c r="P55" i="2"/>
  <c r="P57" i="2"/>
  <c r="P58" i="2"/>
  <c r="P60" i="2"/>
  <c r="P62" i="2"/>
  <c r="P64" i="2"/>
  <c r="P65" i="2"/>
  <c r="P54" i="2"/>
  <c r="P56" i="2"/>
  <c r="P59" i="2"/>
  <c r="P61" i="2"/>
  <c r="P63" i="2"/>
  <c r="G47" i="2"/>
  <c r="K47" i="2"/>
  <c r="O47" i="2"/>
  <c r="G51" i="2"/>
  <c r="K51" i="2"/>
  <c r="O51" i="2"/>
  <c r="D47" i="2"/>
  <c r="H47" i="2"/>
  <c r="L47" i="2"/>
  <c r="F49" i="2"/>
  <c r="J49" i="2"/>
  <c r="N49" i="2"/>
  <c r="D51" i="2"/>
  <c r="H51" i="2"/>
  <c r="L51" i="2"/>
  <c r="F47" i="2"/>
  <c r="J47" i="2"/>
  <c r="N47" i="2"/>
  <c r="Q61" i="2" l="1"/>
  <c r="Q65" i="2"/>
  <c r="Q58" i="2"/>
  <c r="Q66" i="2"/>
  <c r="Q60" i="2"/>
  <c r="Q54" i="2"/>
  <c r="Q56" i="2"/>
  <c r="Q62" i="2"/>
  <c r="Q64" i="2"/>
  <c r="Q67" i="2"/>
  <c r="O1415" i="2" l="1"/>
  <c r="N1415" i="2"/>
  <c r="M1415" i="2"/>
  <c r="L1415" i="2"/>
  <c r="K1415" i="2"/>
  <c r="J1415" i="2"/>
  <c r="H1415" i="2"/>
  <c r="G1415" i="2"/>
  <c r="F1415" i="2"/>
  <c r="E1415" i="2"/>
  <c r="D1415" i="2"/>
  <c r="F1414" i="2"/>
  <c r="E1414" i="2"/>
  <c r="D1414" i="2"/>
  <c r="O1414" i="2"/>
  <c r="N1414" i="2"/>
  <c r="M1414" i="2"/>
  <c r="L1414" i="2"/>
  <c r="K1414" i="2"/>
  <c r="J1414" i="2"/>
  <c r="H1414" i="2"/>
  <c r="G1414" i="2"/>
  <c r="P12" i="2"/>
  <c r="O11" i="2" l="1"/>
  <c r="N11" i="2"/>
  <c r="M11" i="2"/>
  <c r="J11" i="2"/>
  <c r="F11" i="2"/>
  <c r="L11" i="2" l="1"/>
  <c r="H11" i="2"/>
  <c r="K11" i="2"/>
  <c r="F1413" i="2" l="1"/>
  <c r="F1412" i="2"/>
  <c r="F1411" i="2"/>
  <c r="F1410" i="2"/>
  <c r="F1409" i="2"/>
  <c r="F1408" i="2"/>
  <c r="F1407" i="2"/>
  <c r="F1406" i="2"/>
  <c r="F1405" i="2"/>
  <c r="F1404" i="2"/>
  <c r="F1403" i="2"/>
  <c r="F1402" i="2"/>
  <c r="F1401" i="2"/>
  <c r="F1400" i="2"/>
  <c r="F1396" i="2"/>
  <c r="F1399" i="2" s="1"/>
  <c r="F1394" i="2"/>
  <c r="F1392" i="2"/>
  <c r="F5" i="2" l="1"/>
  <c r="F7" i="2"/>
  <c r="F9" i="2"/>
  <c r="F1395" i="2"/>
  <c r="F1393" i="2" l="1"/>
  <c r="F1397" i="2"/>
  <c r="E1413" i="2"/>
  <c r="E1412" i="2"/>
  <c r="E1411" i="2"/>
  <c r="E1410" i="2"/>
  <c r="E1409" i="2"/>
  <c r="E1408" i="2"/>
  <c r="E1407" i="2"/>
  <c r="E1406" i="2"/>
  <c r="E1405" i="2"/>
  <c r="E1404" i="2"/>
  <c r="E1403" i="2"/>
  <c r="E1402" i="2"/>
  <c r="E1401" i="2"/>
  <c r="E1400" i="2"/>
  <c r="O1413" i="2"/>
  <c r="N1413" i="2"/>
  <c r="M1413" i="2"/>
  <c r="L1413" i="2"/>
  <c r="K1413" i="2"/>
  <c r="J1413" i="2"/>
  <c r="I1413" i="2"/>
  <c r="H1413" i="2"/>
  <c r="O1412" i="2"/>
  <c r="N1412" i="2"/>
  <c r="M1412" i="2"/>
  <c r="L1412" i="2"/>
  <c r="K1412" i="2"/>
  <c r="J1412" i="2"/>
  <c r="I1412" i="2"/>
  <c r="H1412" i="2"/>
  <c r="O1411" i="2"/>
  <c r="N1411" i="2"/>
  <c r="M1411" i="2"/>
  <c r="L1411" i="2"/>
  <c r="K1411" i="2"/>
  <c r="J1411" i="2"/>
  <c r="I1411" i="2"/>
  <c r="H1411" i="2"/>
  <c r="O1410" i="2"/>
  <c r="N1410" i="2"/>
  <c r="M1410" i="2"/>
  <c r="L1410" i="2"/>
  <c r="K1410" i="2"/>
  <c r="J1410" i="2"/>
  <c r="I1410" i="2"/>
  <c r="H1410" i="2"/>
  <c r="O1409" i="2"/>
  <c r="N1409" i="2"/>
  <c r="M1409" i="2"/>
  <c r="L1409" i="2"/>
  <c r="K1409" i="2"/>
  <c r="J1409" i="2"/>
  <c r="I1409" i="2"/>
  <c r="H1409" i="2"/>
  <c r="O1408" i="2"/>
  <c r="N1408" i="2"/>
  <c r="M1408" i="2"/>
  <c r="L1408" i="2"/>
  <c r="K1408" i="2"/>
  <c r="J1408" i="2"/>
  <c r="I1408" i="2"/>
  <c r="H1408" i="2"/>
  <c r="O1407" i="2"/>
  <c r="N1407" i="2"/>
  <c r="M1407" i="2"/>
  <c r="L1407" i="2"/>
  <c r="K1407" i="2"/>
  <c r="J1407" i="2"/>
  <c r="I1407" i="2"/>
  <c r="H1407" i="2"/>
  <c r="O1406" i="2"/>
  <c r="N1406" i="2"/>
  <c r="M1406" i="2"/>
  <c r="L1406" i="2"/>
  <c r="K1406" i="2"/>
  <c r="J1406" i="2"/>
  <c r="I1406" i="2"/>
  <c r="H1406" i="2"/>
  <c r="O1405" i="2"/>
  <c r="N1405" i="2"/>
  <c r="M1405" i="2"/>
  <c r="L1405" i="2"/>
  <c r="K1405" i="2"/>
  <c r="J1405" i="2"/>
  <c r="I1405" i="2"/>
  <c r="H1405" i="2"/>
  <c r="O1404" i="2"/>
  <c r="N1404" i="2"/>
  <c r="M1404" i="2"/>
  <c r="L1404" i="2"/>
  <c r="K1404" i="2"/>
  <c r="J1404" i="2"/>
  <c r="I1404" i="2"/>
  <c r="H1404" i="2"/>
  <c r="O1403" i="2"/>
  <c r="N1403" i="2"/>
  <c r="M1403" i="2"/>
  <c r="L1403" i="2"/>
  <c r="K1403" i="2"/>
  <c r="J1403" i="2"/>
  <c r="I1403" i="2"/>
  <c r="H1403" i="2"/>
  <c r="O1402" i="2"/>
  <c r="N1402" i="2"/>
  <c r="M1402" i="2"/>
  <c r="L1402" i="2"/>
  <c r="K1402" i="2"/>
  <c r="J1402" i="2"/>
  <c r="I1402" i="2"/>
  <c r="H1402" i="2"/>
  <c r="O1401" i="2"/>
  <c r="N1401" i="2"/>
  <c r="M1401" i="2"/>
  <c r="L1401" i="2"/>
  <c r="K1401" i="2"/>
  <c r="J1401" i="2"/>
  <c r="I1401" i="2"/>
  <c r="H1401" i="2"/>
  <c r="O1400" i="2"/>
  <c r="N1400" i="2"/>
  <c r="M1400" i="2"/>
  <c r="L1400" i="2"/>
  <c r="K1400" i="2"/>
  <c r="J1400" i="2"/>
  <c r="I1400" i="2"/>
  <c r="H1400" i="2"/>
  <c r="O1398" i="2"/>
  <c r="N1398" i="2"/>
  <c r="L1398" i="2"/>
  <c r="K1398" i="2"/>
  <c r="J1398" i="2"/>
  <c r="H1398" i="2"/>
  <c r="O1396" i="2"/>
  <c r="N1396" i="2"/>
  <c r="L1396" i="2"/>
  <c r="K1396" i="2"/>
  <c r="J1396" i="2"/>
  <c r="H1396" i="2"/>
  <c r="O1394" i="2"/>
  <c r="N1394" i="2"/>
  <c r="M1394" i="2"/>
  <c r="L1394" i="2"/>
  <c r="K1394" i="2"/>
  <c r="J1394" i="2"/>
  <c r="H1394" i="2"/>
  <c r="O1392" i="2"/>
  <c r="N1392" i="2"/>
  <c r="M1392" i="2"/>
  <c r="L1392" i="2"/>
  <c r="K1392" i="2"/>
  <c r="J1392" i="2"/>
  <c r="H1392" i="2"/>
  <c r="H1393" i="2" s="1"/>
  <c r="E1396" i="2"/>
  <c r="E1394" i="2"/>
  <c r="E1392" i="2"/>
  <c r="D1398" i="2"/>
  <c r="D1396" i="2"/>
  <c r="D1394" i="2"/>
  <c r="D1392" i="2"/>
  <c r="D1393" i="2" s="1"/>
  <c r="O1399" i="2" l="1"/>
  <c r="O1397" i="2"/>
  <c r="N1399" i="2"/>
  <c r="D11" i="2"/>
  <c r="L1399" i="2"/>
  <c r="E11" i="2"/>
  <c r="K1399" i="2"/>
  <c r="J1399" i="2"/>
  <c r="E1398" i="2"/>
  <c r="E1399" i="2" s="1"/>
  <c r="D1399" i="2"/>
  <c r="H1399" i="2"/>
  <c r="D7" i="2"/>
  <c r="D5" i="2"/>
  <c r="D9" i="2"/>
  <c r="J1393" i="2"/>
  <c r="J7" i="2"/>
  <c r="J5" i="2"/>
  <c r="J9" i="2"/>
  <c r="K1397" i="2"/>
  <c r="K9" i="2"/>
  <c r="K7" i="2"/>
  <c r="K5" i="2"/>
  <c r="E1393" i="2"/>
  <c r="E7" i="2"/>
  <c r="E5" i="2"/>
  <c r="E9" i="2"/>
  <c r="O1393" i="2"/>
  <c r="O5" i="2"/>
  <c r="O7" i="2"/>
  <c r="O9" i="2"/>
  <c r="M1393" i="2"/>
  <c r="M9" i="2"/>
  <c r="M7" i="2"/>
  <c r="M5" i="2"/>
  <c r="N1395" i="2"/>
  <c r="N7" i="2"/>
  <c r="N9" i="2"/>
  <c r="N5" i="2"/>
  <c r="L1393" i="2"/>
  <c r="L7" i="2"/>
  <c r="L5" i="2"/>
  <c r="L9" i="2"/>
  <c r="H9" i="2"/>
  <c r="H5" i="2"/>
  <c r="H7" i="2"/>
  <c r="O1395" i="2" l="1"/>
  <c r="N1393" i="2"/>
  <c r="N1397" i="2"/>
  <c r="M1395" i="2"/>
  <c r="M1397" i="2"/>
  <c r="L1397" i="2"/>
  <c r="L1395" i="2"/>
  <c r="K1395" i="2"/>
  <c r="J1397" i="2"/>
  <c r="K1393" i="2"/>
  <c r="J1395" i="2"/>
  <c r="H1397" i="2"/>
  <c r="H1395" i="2"/>
  <c r="D1397" i="2"/>
  <c r="D1395" i="2"/>
  <c r="E1395" i="2"/>
  <c r="E1397" i="2"/>
  <c r="P25" i="2" l="1"/>
  <c r="Q25" i="2" s="1"/>
  <c r="P24" i="2"/>
  <c r="P23" i="2"/>
  <c r="P22" i="2"/>
  <c r="P21" i="2"/>
  <c r="P20" i="2"/>
  <c r="P19" i="2"/>
  <c r="P18" i="2"/>
  <c r="P17" i="2"/>
  <c r="P16" i="2"/>
  <c r="P15" i="2"/>
  <c r="P14" i="2"/>
  <c r="P13" i="2"/>
  <c r="G1400" i="2" l="1"/>
  <c r="P1400" i="2" s="1"/>
  <c r="G1404" i="2"/>
  <c r="P1404" i="2" s="1"/>
  <c r="G1408" i="2"/>
  <c r="P1408" i="2" s="1"/>
  <c r="G1412" i="2"/>
  <c r="P1412" i="2" s="1"/>
  <c r="G1401" i="2"/>
  <c r="P1401" i="2" s="1"/>
  <c r="G1405" i="2"/>
  <c r="P1405" i="2" s="1"/>
  <c r="G1409" i="2"/>
  <c r="P1409" i="2" s="1"/>
  <c r="G1413" i="2"/>
  <c r="P1413" i="2" s="1"/>
  <c r="G1402" i="2"/>
  <c r="P1402" i="2" s="1"/>
  <c r="G1406" i="2"/>
  <c r="P1406" i="2" s="1"/>
  <c r="G1410" i="2"/>
  <c r="P1410" i="2" s="1"/>
  <c r="G1403" i="2"/>
  <c r="P1403" i="2" s="1"/>
  <c r="G1407" i="2"/>
  <c r="P1407" i="2" s="1"/>
  <c r="G1411" i="2"/>
  <c r="P1411" i="2" s="1"/>
  <c r="Q14" i="2" l="1"/>
  <c r="Q24" i="2"/>
  <c r="Q23" i="2"/>
  <c r="Q18" i="2"/>
  <c r="Q12" i="2"/>
  <c r="Q15" i="2"/>
  <c r="Q22" i="2"/>
  <c r="Q19" i="2"/>
  <c r="Q20" i="2"/>
  <c r="G11" i="2"/>
  <c r="G9" i="2"/>
  <c r="G1392" i="2"/>
  <c r="G1399" i="2" s="1"/>
  <c r="G1396" i="2"/>
  <c r="G5" i="2"/>
  <c r="G1397" i="2" l="1"/>
  <c r="G7" i="2"/>
  <c r="G1393" i="2"/>
  <c r="G1394" i="2"/>
  <c r="G1395" i="2" l="1"/>
  <c r="Q1407" i="2"/>
  <c r="Q1410" i="2"/>
  <c r="I52" i="2" l="1"/>
  <c r="I92" i="2"/>
  <c r="P92" i="2" s="1"/>
  <c r="I46" i="2"/>
  <c r="P46" i="2" s="1"/>
  <c r="Q57" i="2" s="1"/>
  <c r="I69" i="2"/>
  <c r="P69" i="2" s="1"/>
  <c r="Q69" i="2" s="1"/>
  <c r="Q63" i="2" l="1"/>
  <c r="Q59" i="2"/>
  <c r="Q55" i="2"/>
  <c r="P52" i="2"/>
  <c r="I53" i="2"/>
  <c r="I1385" i="2" l="1"/>
  <c r="I1384" i="2"/>
  <c r="I1383" i="2"/>
  <c r="I1382" i="2"/>
  <c r="I1381" i="2"/>
  <c r="I1379" i="2"/>
  <c r="I1378" i="2"/>
  <c r="I1377" i="2"/>
  <c r="I1376" i="2"/>
  <c r="I1375" i="2"/>
  <c r="I1374" i="2"/>
  <c r="I1373" i="2"/>
  <c r="I1372" i="2"/>
  <c r="I1371" i="2"/>
  <c r="I1354" i="2"/>
  <c r="I1352" i="2"/>
  <c r="I1348" i="2"/>
  <c r="I1347" i="2"/>
  <c r="I1343" i="2"/>
  <c r="P1343" i="2" s="1"/>
  <c r="Q1343" i="2" s="1"/>
  <c r="I1342" i="2"/>
  <c r="P1342" i="2" s="1"/>
  <c r="Q1342" i="2" s="1"/>
  <c r="I1341" i="2"/>
  <c r="P1341" i="2" s="1"/>
  <c r="Q1341" i="2" s="1"/>
  <c r="I1340" i="2"/>
  <c r="P1340" i="2" s="1"/>
  <c r="Q1340" i="2" s="1"/>
  <c r="I1339" i="2"/>
  <c r="P1339" i="2" s="1"/>
  <c r="Q1339" i="2" s="1"/>
  <c r="I1337" i="2"/>
  <c r="P1337" i="2" s="1"/>
  <c r="Q1337" i="2" s="1"/>
  <c r="I1336" i="2"/>
  <c r="P1336" i="2" s="1"/>
  <c r="Q1336" i="2" s="1"/>
  <c r="I1335" i="2"/>
  <c r="P1335" i="2" s="1"/>
  <c r="Q1335" i="2" s="1"/>
  <c r="I1334" i="2"/>
  <c r="P1334" i="2" s="1"/>
  <c r="I1333" i="2"/>
  <c r="P1333" i="2" s="1"/>
  <c r="I1332" i="2"/>
  <c r="P1332" i="2" s="1"/>
  <c r="Q1332" i="2" s="1"/>
  <c r="I1331" i="2"/>
  <c r="P1331" i="2" s="1"/>
  <c r="Q1331" i="2" s="1"/>
  <c r="I1330" i="2"/>
  <c r="P1330" i="2" s="1"/>
  <c r="I1329" i="2"/>
  <c r="P1329" i="2" s="1"/>
  <c r="I1312" i="2"/>
  <c r="I1310" i="2"/>
  <c r="P1310" i="2" s="1"/>
  <c r="I1306" i="2"/>
  <c r="P1306" i="2" s="1"/>
  <c r="I1305" i="2"/>
  <c r="I1301" i="2"/>
  <c r="P1301" i="2" s="1"/>
  <c r="Q1301" i="2" s="1"/>
  <c r="I1300" i="2"/>
  <c r="P1300" i="2" s="1"/>
  <c r="Q1300" i="2" s="1"/>
  <c r="I1299" i="2"/>
  <c r="P1299" i="2" s="1"/>
  <c r="Q1299" i="2" s="1"/>
  <c r="I1298" i="2"/>
  <c r="P1298" i="2" s="1"/>
  <c r="Q1298" i="2" s="1"/>
  <c r="I1297" i="2"/>
  <c r="P1297" i="2" s="1"/>
  <c r="Q1297" i="2" s="1"/>
  <c r="I1295" i="2"/>
  <c r="P1295" i="2" s="1"/>
  <c r="Q1295" i="2" s="1"/>
  <c r="I1294" i="2"/>
  <c r="P1294" i="2" s="1"/>
  <c r="Q1294" i="2" s="1"/>
  <c r="I1293" i="2"/>
  <c r="P1293" i="2" s="1"/>
  <c r="Q1293" i="2" s="1"/>
  <c r="I1292" i="2"/>
  <c r="P1292" i="2" s="1"/>
  <c r="I1291" i="2"/>
  <c r="P1291" i="2" s="1"/>
  <c r="Q1291" i="2" s="1"/>
  <c r="I1290" i="2"/>
  <c r="P1290" i="2" s="1"/>
  <c r="Q1290" i="2" s="1"/>
  <c r="I1289" i="2"/>
  <c r="P1289" i="2" s="1"/>
  <c r="Q1289" i="2" s="1"/>
  <c r="I1288" i="2"/>
  <c r="P1288" i="2" s="1"/>
  <c r="I1287" i="2"/>
  <c r="P1287" i="2" s="1"/>
  <c r="Q1287" i="2" s="1"/>
  <c r="I1270" i="2"/>
  <c r="I1268" i="2"/>
  <c r="P1268" i="2" s="1"/>
  <c r="I1264" i="2"/>
  <c r="P1264" i="2" s="1"/>
  <c r="I1263" i="2"/>
  <c r="I1259" i="2"/>
  <c r="P1259" i="2" s="1"/>
  <c r="Q1259" i="2" s="1"/>
  <c r="I1258" i="2"/>
  <c r="P1258" i="2" s="1"/>
  <c r="Q1258" i="2" s="1"/>
  <c r="I1257" i="2"/>
  <c r="P1257" i="2" s="1"/>
  <c r="Q1257" i="2" s="1"/>
  <c r="I1256" i="2"/>
  <c r="P1256" i="2" s="1"/>
  <c r="Q1256" i="2" s="1"/>
  <c r="I1255" i="2"/>
  <c r="P1255" i="2" s="1"/>
  <c r="Q1255" i="2" s="1"/>
  <c r="I1253" i="2"/>
  <c r="P1253" i="2" s="1"/>
  <c r="Q1253" i="2" s="1"/>
  <c r="I1252" i="2"/>
  <c r="P1252" i="2" s="1"/>
  <c r="Q1252" i="2" s="1"/>
  <c r="I1251" i="2"/>
  <c r="P1251" i="2" s="1"/>
  <c r="I1250" i="2"/>
  <c r="P1250" i="2" s="1"/>
  <c r="Q1250" i="2" s="1"/>
  <c r="I1249" i="2"/>
  <c r="P1249" i="2" s="1"/>
  <c r="I1248" i="2"/>
  <c r="P1248" i="2" s="1"/>
  <c r="I1247" i="2"/>
  <c r="P1247" i="2" s="1"/>
  <c r="Q1247" i="2" s="1"/>
  <c r="I1246" i="2"/>
  <c r="P1246" i="2" s="1"/>
  <c r="I1245" i="2"/>
  <c r="P1245" i="2" s="1"/>
  <c r="I1228" i="2"/>
  <c r="I1226" i="2"/>
  <c r="P1226" i="2" s="1"/>
  <c r="I1222" i="2"/>
  <c r="P1222" i="2" s="1"/>
  <c r="I1221" i="2"/>
  <c r="I1217" i="2"/>
  <c r="P1217" i="2" s="1"/>
  <c r="Q1217" i="2" s="1"/>
  <c r="I1216" i="2"/>
  <c r="P1216" i="2" s="1"/>
  <c r="Q1216" i="2" s="1"/>
  <c r="I1215" i="2"/>
  <c r="P1215" i="2" s="1"/>
  <c r="I1214" i="2"/>
  <c r="P1214" i="2" s="1"/>
  <c r="Q1214" i="2" s="1"/>
  <c r="I1213" i="2"/>
  <c r="P1213" i="2" s="1"/>
  <c r="Q1213" i="2" s="1"/>
  <c r="I1211" i="2"/>
  <c r="P1211" i="2" s="1"/>
  <c r="Q1211" i="2" s="1"/>
  <c r="I1210" i="2"/>
  <c r="P1210" i="2" s="1"/>
  <c r="Q1210" i="2" s="1"/>
  <c r="I1209" i="2"/>
  <c r="P1209" i="2" s="1"/>
  <c r="Q1209" i="2" s="1"/>
  <c r="I1208" i="2"/>
  <c r="P1208" i="2" s="1"/>
  <c r="Q1208" i="2" s="1"/>
  <c r="I1207" i="2"/>
  <c r="P1207" i="2" s="1"/>
  <c r="Q1207" i="2" s="1"/>
  <c r="I1206" i="2"/>
  <c r="P1206" i="2" s="1"/>
  <c r="Q1206" i="2" s="1"/>
  <c r="I1205" i="2"/>
  <c r="P1205" i="2" s="1"/>
  <c r="Q1205" i="2" s="1"/>
  <c r="I1204" i="2"/>
  <c r="P1204" i="2" s="1"/>
  <c r="I1203" i="2"/>
  <c r="P1203" i="2" s="1"/>
  <c r="Q1203" i="2" s="1"/>
  <c r="I1186" i="2"/>
  <c r="I1184" i="2"/>
  <c r="P1184" i="2" s="1"/>
  <c r="I1180" i="2"/>
  <c r="P1180" i="2" s="1"/>
  <c r="Q1191" i="2" s="1"/>
  <c r="I1179" i="2"/>
  <c r="I1175" i="2"/>
  <c r="P1175" i="2" s="1"/>
  <c r="Q1175" i="2" s="1"/>
  <c r="I1174" i="2"/>
  <c r="P1174" i="2" s="1"/>
  <c r="Q1174" i="2" s="1"/>
  <c r="I1173" i="2"/>
  <c r="P1173" i="2" s="1"/>
  <c r="Q1173" i="2" s="1"/>
  <c r="I1172" i="2"/>
  <c r="P1172" i="2" s="1"/>
  <c r="Q1172" i="2" s="1"/>
  <c r="I1171" i="2"/>
  <c r="P1171" i="2" s="1"/>
  <c r="Q1171" i="2" s="1"/>
  <c r="I1169" i="2"/>
  <c r="P1169" i="2" s="1"/>
  <c r="Q1169" i="2" s="1"/>
  <c r="I1168" i="2"/>
  <c r="P1168" i="2" s="1"/>
  <c r="Q1168" i="2" s="1"/>
  <c r="I1167" i="2"/>
  <c r="P1167" i="2" s="1"/>
  <c r="Q1167" i="2" s="1"/>
  <c r="I1166" i="2"/>
  <c r="P1166" i="2" s="1"/>
  <c r="Q1166" i="2" s="1"/>
  <c r="I1165" i="2"/>
  <c r="P1165" i="2" s="1"/>
  <c r="I1164" i="2"/>
  <c r="P1164" i="2" s="1"/>
  <c r="I1163" i="2"/>
  <c r="P1163" i="2" s="1"/>
  <c r="Q1163" i="2" s="1"/>
  <c r="I1162" i="2"/>
  <c r="P1162" i="2" s="1"/>
  <c r="I1161" i="2"/>
  <c r="P1161" i="2" s="1"/>
  <c r="I1144" i="2"/>
  <c r="I1142" i="2"/>
  <c r="P1142" i="2" s="1"/>
  <c r="I1138" i="2"/>
  <c r="P1138" i="2" s="1"/>
  <c r="I1137" i="2"/>
  <c r="I1133" i="2"/>
  <c r="P1133" i="2" s="1"/>
  <c r="Q1133" i="2" s="1"/>
  <c r="I1132" i="2"/>
  <c r="P1132" i="2" s="1"/>
  <c r="Q1132" i="2" s="1"/>
  <c r="I1131" i="2"/>
  <c r="P1131" i="2" s="1"/>
  <c r="Q1131" i="2" s="1"/>
  <c r="I1130" i="2"/>
  <c r="P1130" i="2" s="1"/>
  <c r="Q1130" i="2" s="1"/>
  <c r="I1129" i="2"/>
  <c r="P1129" i="2" s="1"/>
  <c r="I1127" i="2"/>
  <c r="P1127" i="2" s="1"/>
  <c r="Q1127" i="2" s="1"/>
  <c r="I1126" i="2"/>
  <c r="P1126" i="2" s="1"/>
  <c r="Q1126" i="2" s="1"/>
  <c r="I1125" i="2"/>
  <c r="P1125" i="2" s="1"/>
  <c r="Q1125" i="2" s="1"/>
  <c r="I1124" i="2"/>
  <c r="P1124" i="2" s="1"/>
  <c r="Q1124" i="2" s="1"/>
  <c r="I1123" i="2"/>
  <c r="P1123" i="2" s="1"/>
  <c r="Q1123" i="2" s="1"/>
  <c r="I1122" i="2"/>
  <c r="P1122" i="2" s="1"/>
  <c r="Q1122" i="2" s="1"/>
  <c r="I1121" i="2"/>
  <c r="P1121" i="2" s="1"/>
  <c r="Q1121" i="2" s="1"/>
  <c r="I1120" i="2"/>
  <c r="P1120" i="2" s="1"/>
  <c r="I1119" i="2"/>
  <c r="P1119" i="2" s="1"/>
  <c r="Q1119" i="2" s="1"/>
  <c r="I1102" i="2"/>
  <c r="I1100" i="2"/>
  <c r="P1100" i="2" s="1"/>
  <c r="I1096" i="2"/>
  <c r="P1096" i="2" s="1"/>
  <c r="I1095" i="2"/>
  <c r="I1091" i="2"/>
  <c r="P1091" i="2" s="1"/>
  <c r="Q1091" i="2" s="1"/>
  <c r="I1090" i="2"/>
  <c r="P1090" i="2" s="1"/>
  <c r="Q1090" i="2" s="1"/>
  <c r="I1089" i="2"/>
  <c r="P1089" i="2" s="1"/>
  <c r="Q1089" i="2" s="1"/>
  <c r="I1088" i="2"/>
  <c r="P1088" i="2" s="1"/>
  <c r="Q1088" i="2" s="1"/>
  <c r="I1087" i="2"/>
  <c r="P1087" i="2" s="1"/>
  <c r="Q1087" i="2" s="1"/>
  <c r="I1085" i="2"/>
  <c r="P1085" i="2" s="1"/>
  <c r="Q1085" i="2" s="1"/>
  <c r="I1084" i="2"/>
  <c r="P1084" i="2" s="1"/>
  <c r="Q1084" i="2" s="1"/>
  <c r="I1083" i="2"/>
  <c r="P1083" i="2" s="1"/>
  <c r="Q1083" i="2" s="1"/>
  <c r="I1082" i="2"/>
  <c r="P1082" i="2" s="1"/>
  <c r="I1081" i="2"/>
  <c r="P1081" i="2" s="1"/>
  <c r="Q1081" i="2" s="1"/>
  <c r="I1080" i="2"/>
  <c r="P1080" i="2" s="1"/>
  <c r="Q1080" i="2" s="1"/>
  <c r="I1079" i="2"/>
  <c r="P1079" i="2" s="1"/>
  <c r="Q1079" i="2" s="1"/>
  <c r="I1078" i="2"/>
  <c r="P1078" i="2" s="1"/>
  <c r="I1077" i="2"/>
  <c r="P1077" i="2" s="1"/>
  <c r="I1060" i="2"/>
  <c r="I1058" i="2"/>
  <c r="P1058" i="2" s="1"/>
  <c r="I1054" i="2"/>
  <c r="P1054" i="2" s="1"/>
  <c r="Q1067" i="2" s="1"/>
  <c r="I1053" i="2"/>
  <c r="I1049" i="2"/>
  <c r="P1049" i="2" s="1"/>
  <c r="Q1049" i="2" s="1"/>
  <c r="I1048" i="2"/>
  <c r="P1048" i="2" s="1"/>
  <c r="Q1048" i="2" s="1"/>
  <c r="I1047" i="2"/>
  <c r="P1047" i="2" s="1"/>
  <c r="Q1047" i="2" s="1"/>
  <c r="I1046" i="2"/>
  <c r="P1046" i="2" s="1"/>
  <c r="Q1046" i="2" s="1"/>
  <c r="I1045" i="2"/>
  <c r="P1045" i="2" s="1"/>
  <c r="I1043" i="2"/>
  <c r="P1043" i="2" s="1"/>
  <c r="Q1043" i="2" s="1"/>
  <c r="I1042" i="2"/>
  <c r="P1042" i="2" s="1"/>
  <c r="Q1042" i="2" s="1"/>
  <c r="I1041" i="2"/>
  <c r="P1041" i="2" s="1"/>
  <c r="I1040" i="2"/>
  <c r="P1040" i="2" s="1"/>
  <c r="Q1040" i="2" s="1"/>
  <c r="I1039" i="2"/>
  <c r="P1039" i="2" s="1"/>
  <c r="Q1039" i="2" s="1"/>
  <c r="I1038" i="2"/>
  <c r="P1038" i="2" s="1"/>
  <c r="I1037" i="2"/>
  <c r="P1037" i="2" s="1"/>
  <c r="Q1037" i="2" s="1"/>
  <c r="I1036" i="2"/>
  <c r="P1036" i="2" s="1"/>
  <c r="I1035" i="2"/>
  <c r="P1035" i="2" s="1"/>
  <c r="I1018" i="2"/>
  <c r="I1016" i="2"/>
  <c r="P1016" i="2" s="1"/>
  <c r="I1012" i="2"/>
  <c r="P1012" i="2" s="1"/>
  <c r="Q1028" i="2" s="1"/>
  <c r="I1011" i="2"/>
  <c r="I1007" i="2"/>
  <c r="P1007" i="2" s="1"/>
  <c r="Q1007" i="2" s="1"/>
  <c r="I1006" i="2"/>
  <c r="P1006" i="2" s="1"/>
  <c r="Q1006" i="2" s="1"/>
  <c r="I1005" i="2"/>
  <c r="P1005" i="2" s="1"/>
  <c r="Q1005" i="2" s="1"/>
  <c r="I1004" i="2"/>
  <c r="P1004" i="2" s="1"/>
  <c r="Q1004" i="2" s="1"/>
  <c r="I1003" i="2"/>
  <c r="P1003" i="2" s="1"/>
  <c r="Q1003" i="2" s="1"/>
  <c r="I1001" i="2"/>
  <c r="P1001" i="2" s="1"/>
  <c r="Q1001" i="2" s="1"/>
  <c r="I1000" i="2"/>
  <c r="P1000" i="2" s="1"/>
  <c r="Q1000" i="2" s="1"/>
  <c r="I999" i="2"/>
  <c r="P999" i="2" s="1"/>
  <c r="I998" i="2"/>
  <c r="P998" i="2" s="1"/>
  <c r="I997" i="2"/>
  <c r="P997" i="2" s="1"/>
  <c r="Q997" i="2" s="1"/>
  <c r="I996" i="2"/>
  <c r="P996" i="2" s="1"/>
  <c r="I995" i="2"/>
  <c r="P995" i="2" s="1"/>
  <c r="Q995" i="2" s="1"/>
  <c r="I994" i="2"/>
  <c r="P994" i="2" s="1"/>
  <c r="I993" i="2"/>
  <c r="P993" i="2" s="1"/>
  <c r="Q993" i="2" s="1"/>
  <c r="I976" i="2"/>
  <c r="I974" i="2"/>
  <c r="P974" i="2" s="1"/>
  <c r="I970" i="2"/>
  <c r="P970" i="2" s="1"/>
  <c r="Q981" i="2" s="1"/>
  <c r="I969" i="2"/>
  <c r="I293" i="2"/>
  <c r="P293" i="2" s="1"/>
  <c r="Q293" i="2" s="1"/>
  <c r="I292" i="2"/>
  <c r="P292" i="2" s="1"/>
  <c r="Q292" i="2" s="1"/>
  <c r="I291" i="2"/>
  <c r="P291" i="2" s="1"/>
  <c r="Q291" i="2" s="1"/>
  <c r="I290" i="2"/>
  <c r="P290" i="2" s="1"/>
  <c r="Q290" i="2" s="1"/>
  <c r="I289" i="2"/>
  <c r="P289" i="2" s="1"/>
  <c r="Q289" i="2" s="1"/>
  <c r="I287" i="2"/>
  <c r="P287" i="2" s="1"/>
  <c r="Q287" i="2" s="1"/>
  <c r="I286" i="2"/>
  <c r="P286" i="2" s="1"/>
  <c r="Q286" i="2" s="1"/>
  <c r="I285" i="2"/>
  <c r="P285" i="2" s="1"/>
  <c r="Q285" i="2" s="1"/>
  <c r="I284" i="2"/>
  <c r="P284" i="2" s="1"/>
  <c r="Q284" i="2" s="1"/>
  <c r="I283" i="2"/>
  <c r="P283" i="2" s="1"/>
  <c r="Q283" i="2" s="1"/>
  <c r="I282" i="2"/>
  <c r="P282" i="2" s="1"/>
  <c r="Q282" i="2" s="1"/>
  <c r="I281" i="2"/>
  <c r="P281" i="2" s="1"/>
  <c r="Q281" i="2" s="1"/>
  <c r="I280" i="2"/>
  <c r="P280" i="2" s="1"/>
  <c r="Q280" i="2" s="1"/>
  <c r="I279" i="2"/>
  <c r="P279" i="2" s="1"/>
  <c r="Q279" i="2" s="1"/>
  <c r="I262" i="2"/>
  <c r="I260" i="2"/>
  <c r="P260" i="2" s="1"/>
  <c r="I256" i="2"/>
  <c r="P256" i="2" s="1"/>
  <c r="I255" i="2"/>
  <c r="I965" i="2"/>
  <c r="P965" i="2" s="1"/>
  <c r="Q965" i="2" s="1"/>
  <c r="I964" i="2"/>
  <c r="P964" i="2" s="1"/>
  <c r="Q964" i="2" s="1"/>
  <c r="I963" i="2"/>
  <c r="P963" i="2" s="1"/>
  <c r="Q963" i="2" s="1"/>
  <c r="I962" i="2"/>
  <c r="P962" i="2" s="1"/>
  <c r="Q962" i="2" s="1"/>
  <c r="I961" i="2"/>
  <c r="P961" i="2" s="1"/>
  <c r="I959" i="2"/>
  <c r="P959" i="2" s="1"/>
  <c r="Q959" i="2" s="1"/>
  <c r="I958" i="2"/>
  <c r="P958" i="2" s="1"/>
  <c r="Q958" i="2" s="1"/>
  <c r="I957" i="2"/>
  <c r="P957" i="2" s="1"/>
  <c r="Q957" i="2" s="1"/>
  <c r="I956" i="2"/>
  <c r="P956" i="2" s="1"/>
  <c r="Q956" i="2" s="1"/>
  <c r="I955" i="2"/>
  <c r="P955" i="2" s="1"/>
  <c r="Q955" i="2" s="1"/>
  <c r="I954" i="2"/>
  <c r="P954" i="2" s="1"/>
  <c r="Q954" i="2" s="1"/>
  <c r="I953" i="2"/>
  <c r="P953" i="2" s="1"/>
  <c r="Q953" i="2" s="1"/>
  <c r="I952" i="2"/>
  <c r="P952" i="2" s="1"/>
  <c r="I951" i="2"/>
  <c r="P951" i="2" s="1"/>
  <c r="Q951" i="2" s="1"/>
  <c r="I934" i="2"/>
  <c r="I932" i="2"/>
  <c r="P932" i="2" s="1"/>
  <c r="I928" i="2"/>
  <c r="P928" i="2" s="1"/>
  <c r="I927" i="2"/>
  <c r="I923" i="2"/>
  <c r="P923" i="2" s="1"/>
  <c r="Q923" i="2" s="1"/>
  <c r="I922" i="2"/>
  <c r="P922" i="2" s="1"/>
  <c r="Q922" i="2" s="1"/>
  <c r="I921" i="2"/>
  <c r="P921" i="2" s="1"/>
  <c r="Q921" i="2" s="1"/>
  <c r="I920" i="2"/>
  <c r="P920" i="2" s="1"/>
  <c r="Q920" i="2" s="1"/>
  <c r="I919" i="2"/>
  <c r="P919" i="2" s="1"/>
  <c r="Q919" i="2" s="1"/>
  <c r="I917" i="2"/>
  <c r="P917" i="2" s="1"/>
  <c r="Q917" i="2" s="1"/>
  <c r="I916" i="2"/>
  <c r="P916" i="2" s="1"/>
  <c r="Q916" i="2" s="1"/>
  <c r="I915" i="2"/>
  <c r="P915" i="2" s="1"/>
  <c r="I914" i="2"/>
  <c r="P914" i="2" s="1"/>
  <c r="I913" i="2"/>
  <c r="P913" i="2" s="1"/>
  <c r="Q913" i="2" s="1"/>
  <c r="I912" i="2"/>
  <c r="P912" i="2" s="1"/>
  <c r="Q912" i="2" s="1"/>
  <c r="I911" i="2"/>
  <c r="P911" i="2" s="1"/>
  <c r="Q911" i="2" s="1"/>
  <c r="I910" i="2"/>
  <c r="P910" i="2" s="1"/>
  <c r="Q910" i="2" s="1"/>
  <c r="I909" i="2"/>
  <c r="P909" i="2" s="1"/>
  <c r="Q909" i="2" s="1"/>
  <c r="I892" i="2"/>
  <c r="I890" i="2"/>
  <c r="P890" i="2" s="1"/>
  <c r="I886" i="2"/>
  <c r="P886" i="2" s="1"/>
  <c r="Q905" i="2" s="1"/>
  <c r="I885" i="2"/>
  <c r="I881" i="2"/>
  <c r="P881" i="2" s="1"/>
  <c r="Q881" i="2" s="1"/>
  <c r="I880" i="2"/>
  <c r="P880" i="2" s="1"/>
  <c r="Q880" i="2" s="1"/>
  <c r="I879" i="2"/>
  <c r="P879" i="2" s="1"/>
  <c r="Q879" i="2" s="1"/>
  <c r="I878" i="2"/>
  <c r="P878" i="2" s="1"/>
  <c r="Q878" i="2" s="1"/>
  <c r="I877" i="2"/>
  <c r="P877" i="2" s="1"/>
  <c r="Q877" i="2" s="1"/>
  <c r="I875" i="2"/>
  <c r="P875" i="2" s="1"/>
  <c r="Q875" i="2" s="1"/>
  <c r="I874" i="2"/>
  <c r="P874" i="2" s="1"/>
  <c r="Q874" i="2" s="1"/>
  <c r="I873" i="2"/>
  <c r="P873" i="2" s="1"/>
  <c r="Q873" i="2" s="1"/>
  <c r="I872" i="2"/>
  <c r="P872" i="2" s="1"/>
  <c r="I871" i="2"/>
  <c r="P871" i="2" s="1"/>
  <c r="Q871" i="2" s="1"/>
  <c r="I870" i="2"/>
  <c r="P870" i="2" s="1"/>
  <c r="Q870" i="2" s="1"/>
  <c r="I869" i="2"/>
  <c r="P869" i="2" s="1"/>
  <c r="Q869" i="2" s="1"/>
  <c r="I868" i="2"/>
  <c r="P868" i="2" s="1"/>
  <c r="I867" i="2"/>
  <c r="P867" i="2" s="1"/>
  <c r="Q867" i="2" s="1"/>
  <c r="I850" i="2"/>
  <c r="I848" i="2"/>
  <c r="P848" i="2" s="1"/>
  <c r="I844" i="2"/>
  <c r="P844" i="2" s="1"/>
  <c r="I843" i="2"/>
  <c r="I839" i="2"/>
  <c r="P839" i="2" s="1"/>
  <c r="Q839" i="2" s="1"/>
  <c r="I838" i="2"/>
  <c r="P838" i="2" s="1"/>
  <c r="I837" i="2"/>
  <c r="P837" i="2" s="1"/>
  <c r="Q837" i="2" s="1"/>
  <c r="I836" i="2"/>
  <c r="P836" i="2" s="1"/>
  <c r="Q836" i="2" s="1"/>
  <c r="I835" i="2"/>
  <c r="P835" i="2" s="1"/>
  <c r="Q835" i="2" s="1"/>
  <c r="I833" i="2"/>
  <c r="P833" i="2" s="1"/>
  <c r="Q833" i="2" s="1"/>
  <c r="I832" i="2"/>
  <c r="P832" i="2" s="1"/>
  <c r="Q832" i="2" s="1"/>
  <c r="I831" i="2"/>
  <c r="P831" i="2" s="1"/>
  <c r="Q831" i="2" s="1"/>
  <c r="I830" i="2"/>
  <c r="P830" i="2" s="1"/>
  <c r="Q830" i="2" s="1"/>
  <c r="I829" i="2"/>
  <c r="P829" i="2" s="1"/>
  <c r="I828" i="2"/>
  <c r="P828" i="2" s="1"/>
  <c r="I827" i="2"/>
  <c r="P827" i="2" s="1"/>
  <c r="Q827" i="2" s="1"/>
  <c r="I826" i="2"/>
  <c r="P826" i="2" s="1"/>
  <c r="I825" i="2"/>
  <c r="P825" i="2" s="1"/>
  <c r="Q825" i="2" s="1"/>
  <c r="I808" i="2"/>
  <c r="I806" i="2"/>
  <c r="P806" i="2" s="1"/>
  <c r="I802" i="2"/>
  <c r="P802" i="2" s="1"/>
  <c r="Q813" i="2" s="1"/>
  <c r="I801" i="2"/>
  <c r="I797" i="2"/>
  <c r="P797" i="2" s="1"/>
  <c r="Q797" i="2" s="1"/>
  <c r="I796" i="2"/>
  <c r="P796" i="2" s="1"/>
  <c r="I795" i="2"/>
  <c r="P795" i="2" s="1"/>
  <c r="Q795" i="2" s="1"/>
  <c r="I794" i="2"/>
  <c r="P794" i="2" s="1"/>
  <c r="Q794" i="2" s="1"/>
  <c r="I793" i="2"/>
  <c r="P793" i="2" s="1"/>
  <c r="Q793" i="2" s="1"/>
  <c r="I791" i="2"/>
  <c r="P791" i="2" s="1"/>
  <c r="Q791" i="2" s="1"/>
  <c r="I790" i="2"/>
  <c r="P790" i="2" s="1"/>
  <c r="Q790" i="2" s="1"/>
  <c r="I789" i="2"/>
  <c r="P789" i="2" s="1"/>
  <c r="Q789" i="2" s="1"/>
  <c r="I788" i="2"/>
  <c r="P788" i="2" s="1"/>
  <c r="Q788" i="2" s="1"/>
  <c r="I787" i="2"/>
  <c r="P787" i="2" s="1"/>
  <c r="Q787" i="2" s="1"/>
  <c r="I786" i="2"/>
  <c r="P786" i="2" s="1"/>
  <c r="I785" i="2"/>
  <c r="P785" i="2" s="1"/>
  <c r="Q785" i="2" s="1"/>
  <c r="I784" i="2"/>
  <c r="P784" i="2" s="1"/>
  <c r="I783" i="2"/>
  <c r="P783" i="2" s="1"/>
  <c r="I766" i="2"/>
  <c r="I764" i="2"/>
  <c r="P764" i="2" s="1"/>
  <c r="I760" i="2"/>
  <c r="P760" i="2" s="1"/>
  <c r="Q771" i="2" s="1"/>
  <c r="I759" i="2"/>
  <c r="I755" i="2"/>
  <c r="P755" i="2" s="1"/>
  <c r="Q755" i="2" s="1"/>
  <c r="I754" i="2"/>
  <c r="P754" i="2" s="1"/>
  <c r="Q754" i="2" s="1"/>
  <c r="I753" i="2"/>
  <c r="P753" i="2" s="1"/>
  <c r="Q753" i="2" s="1"/>
  <c r="I752" i="2"/>
  <c r="P752" i="2" s="1"/>
  <c r="Q752" i="2" s="1"/>
  <c r="I751" i="2"/>
  <c r="P751" i="2" s="1"/>
  <c r="Q751" i="2" s="1"/>
  <c r="I749" i="2"/>
  <c r="P749" i="2" s="1"/>
  <c r="Q749" i="2" s="1"/>
  <c r="I748" i="2"/>
  <c r="P748" i="2" s="1"/>
  <c r="Q748" i="2" s="1"/>
  <c r="I747" i="2"/>
  <c r="P747" i="2" s="1"/>
  <c r="Q747" i="2" s="1"/>
  <c r="I746" i="2"/>
  <c r="P746" i="2" s="1"/>
  <c r="Q746" i="2" s="1"/>
  <c r="I745" i="2"/>
  <c r="P745" i="2" s="1"/>
  <c r="I744" i="2"/>
  <c r="P744" i="2" s="1"/>
  <c r="Q744" i="2" s="1"/>
  <c r="I743" i="2"/>
  <c r="P743" i="2" s="1"/>
  <c r="Q743" i="2" s="1"/>
  <c r="I742" i="2"/>
  <c r="P742" i="2" s="1"/>
  <c r="I741" i="2"/>
  <c r="P741" i="2" s="1"/>
  <c r="Q741" i="2" s="1"/>
  <c r="I724" i="2"/>
  <c r="I722" i="2"/>
  <c r="P722" i="2" s="1"/>
  <c r="I718" i="2"/>
  <c r="P718" i="2" s="1"/>
  <c r="I717" i="2"/>
  <c r="I713" i="2"/>
  <c r="P713" i="2" s="1"/>
  <c r="Q713" i="2" s="1"/>
  <c r="I712" i="2"/>
  <c r="P712" i="2" s="1"/>
  <c r="Q712" i="2" s="1"/>
  <c r="I711" i="2"/>
  <c r="P711" i="2" s="1"/>
  <c r="Q711" i="2" s="1"/>
  <c r="I710" i="2"/>
  <c r="P710" i="2" s="1"/>
  <c r="Q710" i="2" s="1"/>
  <c r="I709" i="2"/>
  <c r="P709" i="2" s="1"/>
  <c r="I707" i="2"/>
  <c r="P707" i="2" s="1"/>
  <c r="Q707" i="2" s="1"/>
  <c r="I706" i="2"/>
  <c r="P706" i="2" s="1"/>
  <c r="Q706" i="2" s="1"/>
  <c r="I705" i="2"/>
  <c r="P705" i="2" s="1"/>
  <c r="Q705" i="2" s="1"/>
  <c r="I704" i="2"/>
  <c r="P704" i="2" s="1"/>
  <c r="Q704" i="2" s="1"/>
  <c r="I703" i="2"/>
  <c r="P703" i="2" s="1"/>
  <c r="Q703" i="2" s="1"/>
  <c r="I702" i="2"/>
  <c r="P702" i="2" s="1"/>
  <c r="Q702" i="2" s="1"/>
  <c r="I701" i="2"/>
  <c r="P701" i="2" s="1"/>
  <c r="Q701" i="2" s="1"/>
  <c r="I700" i="2"/>
  <c r="P700" i="2" s="1"/>
  <c r="I699" i="2"/>
  <c r="P699" i="2" s="1"/>
  <c r="Q699" i="2" s="1"/>
  <c r="I682" i="2"/>
  <c r="I680" i="2"/>
  <c r="P680" i="2" s="1"/>
  <c r="I676" i="2"/>
  <c r="P676" i="2" s="1"/>
  <c r="Q689" i="2" s="1"/>
  <c r="I675" i="2"/>
  <c r="I587" i="2"/>
  <c r="P587" i="2" s="1"/>
  <c r="Q587" i="2" s="1"/>
  <c r="I586" i="2"/>
  <c r="P586" i="2" s="1"/>
  <c r="Q586" i="2" s="1"/>
  <c r="I585" i="2"/>
  <c r="P585" i="2" s="1"/>
  <c r="I584" i="2"/>
  <c r="P584" i="2" s="1"/>
  <c r="Q584" i="2" s="1"/>
  <c r="I583" i="2"/>
  <c r="P583" i="2" s="1"/>
  <c r="Q583" i="2" s="1"/>
  <c r="I581" i="2"/>
  <c r="P581" i="2" s="1"/>
  <c r="Q581" i="2" s="1"/>
  <c r="I580" i="2"/>
  <c r="P580" i="2" s="1"/>
  <c r="Q580" i="2" s="1"/>
  <c r="I579" i="2"/>
  <c r="P579" i="2" s="1"/>
  <c r="I578" i="2"/>
  <c r="P578" i="2" s="1"/>
  <c r="Q578" i="2" s="1"/>
  <c r="I577" i="2"/>
  <c r="P577" i="2" s="1"/>
  <c r="Q577" i="2" s="1"/>
  <c r="I576" i="2"/>
  <c r="P576" i="2" s="1"/>
  <c r="Q576" i="2" s="1"/>
  <c r="I575" i="2"/>
  <c r="P575" i="2" s="1"/>
  <c r="Q575" i="2" s="1"/>
  <c r="I574" i="2"/>
  <c r="P574" i="2" s="1"/>
  <c r="I573" i="2"/>
  <c r="P573" i="2" s="1"/>
  <c r="I556" i="2"/>
  <c r="I554" i="2"/>
  <c r="P554" i="2" s="1"/>
  <c r="I550" i="2"/>
  <c r="P550" i="2" s="1"/>
  <c r="I549" i="2"/>
  <c r="I671" i="2"/>
  <c r="P671" i="2" s="1"/>
  <c r="Q671" i="2" s="1"/>
  <c r="I670" i="2"/>
  <c r="P670" i="2" s="1"/>
  <c r="Q670" i="2" s="1"/>
  <c r="I669" i="2"/>
  <c r="P669" i="2" s="1"/>
  <c r="Q669" i="2" s="1"/>
  <c r="I668" i="2"/>
  <c r="P668" i="2" s="1"/>
  <c r="Q668" i="2" s="1"/>
  <c r="I667" i="2"/>
  <c r="P667" i="2" s="1"/>
  <c r="Q667" i="2" s="1"/>
  <c r="I665" i="2"/>
  <c r="P665" i="2" s="1"/>
  <c r="Q665" i="2" s="1"/>
  <c r="I664" i="2"/>
  <c r="P664" i="2" s="1"/>
  <c r="Q664" i="2" s="1"/>
  <c r="I663" i="2"/>
  <c r="P663" i="2" s="1"/>
  <c r="Q663" i="2" s="1"/>
  <c r="I662" i="2"/>
  <c r="P662" i="2" s="1"/>
  <c r="Q662" i="2" s="1"/>
  <c r="I661" i="2"/>
  <c r="P661" i="2" s="1"/>
  <c r="Q661" i="2" s="1"/>
  <c r="I660" i="2"/>
  <c r="P660" i="2" s="1"/>
  <c r="Q660" i="2" s="1"/>
  <c r="I659" i="2"/>
  <c r="P659" i="2" s="1"/>
  <c r="Q659" i="2" s="1"/>
  <c r="I658" i="2"/>
  <c r="P658" i="2" s="1"/>
  <c r="I657" i="2"/>
  <c r="P657" i="2" s="1"/>
  <c r="Q657" i="2" s="1"/>
  <c r="I640" i="2"/>
  <c r="I638" i="2"/>
  <c r="P638" i="2" s="1"/>
  <c r="I634" i="2"/>
  <c r="P634" i="2" s="1"/>
  <c r="I633" i="2"/>
  <c r="I629" i="2"/>
  <c r="P629" i="2" s="1"/>
  <c r="Q629" i="2" s="1"/>
  <c r="I628" i="2"/>
  <c r="P628" i="2" s="1"/>
  <c r="Q628" i="2" s="1"/>
  <c r="I627" i="2"/>
  <c r="P627" i="2" s="1"/>
  <c r="Q627" i="2" s="1"/>
  <c r="I626" i="2"/>
  <c r="P626" i="2" s="1"/>
  <c r="Q626" i="2" s="1"/>
  <c r="I625" i="2"/>
  <c r="P625" i="2" s="1"/>
  <c r="Q625" i="2" s="1"/>
  <c r="I623" i="2"/>
  <c r="P623" i="2" s="1"/>
  <c r="Q623" i="2" s="1"/>
  <c r="I622" i="2"/>
  <c r="P622" i="2" s="1"/>
  <c r="Q622" i="2" s="1"/>
  <c r="I621" i="2"/>
  <c r="P621" i="2" s="1"/>
  <c r="Q621" i="2" s="1"/>
  <c r="I620" i="2"/>
  <c r="P620" i="2" s="1"/>
  <c r="Q620" i="2" s="1"/>
  <c r="I619" i="2"/>
  <c r="P619" i="2" s="1"/>
  <c r="Q619" i="2" s="1"/>
  <c r="I618" i="2"/>
  <c r="P618" i="2" s="1"/>
  <c r="Q618" i="2" s="1"/>
  <c r="I617" i="2"/>
  <c r="P617" i="2" s="1"/>
  <c r="Q617" i="2" s="1"/>
  <c r="I616" i="2"/>
  <c r="P616" i="2" s="1"/>
  <c r="Q616" i="2" s="1"/>
  <c r="I615" i="2"/>
  <c r="P615" i="2" s="1"/>
  <c r="Q615" i="2" s="1"/>
  <c r="I598" i="2"/>
  <c r="I596" i="2"/>
  <c r="P596" i="2" s="1"/>
  <c r="I592" i="2"/>
  <c r="P592" i="2" s="1"/>
  <c r="Q603" i="2" s="1"/>
  <c r="I591" i="2"/>
  <c r="I545" i="2"/>
  <c r="P545" i="2" s="1"/>
  <c r="Q545" i="2" s="1"/>
  <c r="I544" i="2"/>
  <c r="P544" i="2" s="1"/>
  <c r="Q544" i="2" s="1"/>
  <c r="I543" i="2"/>
  <c r="P543" i="2" s="1"/>
  <c r="Q543" i="2" s="1"/>
  <c r="I542" i="2"/>
  <c r="P542" i="2" s="1"/>
  <c r="Q542" i="2" s="1"/>
  <c r="I541" i="2"/>
  <c r="P541" i="2" s="1"/>
  <c r="Q541" i="2" s="1"/>
  <c r="I539" i="2"/>
  <c r="P539" i="2" s="1"/>
  <c r="Q539" i="2" s="1"/>
  <c r="I538" i="2"/>
  <c r="P538" i="2" s="1"/>
  <c r="I537" i="2"/>
  <c r="P537" i="2" s="1"/>
  <c r="Q537" i="2" s="1"/>
  <c r="I536" i="2"/>
  <c r="P536" i="2" s="1"/>
  <c r="Q536" i="2" s="1"/>
  <c r="I535" i="2"/>
  <c r="P535" i="2" s="1"/>
  <c r="I534" i="2"/>
  <c r="P534" i="2" s="1"/>
  <c r="I533" i="2"/>
  <c r="P533" i="2" s="1"/>
  <c r="Q533" i="2" s="1"/>
  <c r="I532" i="2"/>
  <c r="P532" i="2" s="1"/>
  <c r="I531" i="2"/>
  <c r="P531" i="2" s="1"/>
  <c r="Q531" i="2" s="1"/>
  <c r="I514" i="2"/>
  <c r="I512" i="2"/>
  <c r="P512" i="2" s="1"/>
  <c r="I508" i="2"/>
  <c r="P508" i="2" s="1"/>
  <c r="I507" i="2"/>
  <c r="I503" i="2"/>
  <c r="P503" i="2" s="1"/>
  <c r="Q503" i="2" s="1"/>
  <c r="I502" i="2"/>
  <c r="P502" i="2" s="1"/>
  <c r="I501" i="2"/>
  <c r="P501" i="2" s="1"/>
  <c r="Q501" i="2" s="1"/>
  <c r="I500" i="2"/>
  <c r="P500" i="2" s="1"/>
  <c r="Q500" i="2" s="1"/>
  <c r="I499" i="2"/>
  <c r="P499" i="2" s="1"/>
  <c r="I497" i="2"/>
  <c r="P497" i="2" s="1"/>
  <c r="Q497" i="2" s="1"/>
  <c r="I496" i="2"/>
  <c r="P496" i="2" s="1"/>
  <c r="Q496" i="2" s="1"/>
  <c r="I495" i="2"/>
  <c r="P495" i="2" s="1"/>
  <c r="I494" i="2"/>
  <c r="P494" i="2" s="1"/>
  <c r="I493" i="2"/>
  <c r="P493" i="2" s="1"/>
  <c r="Q493" i="2" s="1"/>
  <c r="I492" i="2"/>
  <c r="P492" i="2" s="1"/>
  <c r="Q492" i="2" s="1"/>
  <c r="I491" i="2"/>
  <c r="P491" i="2" s="1"/>
  <c r="Q491" i="2" s="1"/>
  <c r="I490" i="2"/>
  <c r="P490" i="2" s="1"/>
  <c r="I489" i="2"/>
  <c r="P489" i="2" s="1"/>
  <c r="I472" i="2"/>
  <c r="I470" i="2"/>
  <c r="P470" i="2" s="1"/>
  <c r="I466" i="2"/>
  <c r="P466" i="2" s="1"/>
  <c r="Q478" i="2" s="1"/>
  <c r="I465" i="2"/>
  <c r="I461" i="2"/>
  <c r="P461" i="2" s="1"/>
  <c r="Q461" i="2" s="1"/>
  <c r="I460" i="2"/>
  <c r="P460" i="2" s="1"/>
  <c r="Q460" i="2" s="1"/>
  <c r="I459" i="2"/>
  <c r="P459" i="2" s="1"/>
  <c r="Q459" i="2" s="1"/>
  <c r="I458" i="2"/>
  <c r="P458" i="2" s="1"/>
  <c r="Q458" i="2" s="1"/>
  <c r="I457" i="2"/>
  <c r="P457" i="2" s="1"/>
  <c r="Q457" i="2" s="1"/>
  <c r="I455" i="2"/>
  <c r="P455" i="2" s="1"/>
  <c r="Q455" i="2" s="1"/>
  <c r="I454" i="2"/>
  <c r="P454" i="2" s="1"/>
  <c r="Q454" i="2" s="1"/>
  <c r="I453" i="2"/>
  <c r="P453" i="2" s="1"/>
  <c r="Q453" i="2" s="1"/>
  <c r="I452" i="2"/>
  <c r="P452" i="2" s="1"/>
  <c r="I451" i="2"/>
  <c r="P451" i="2" s="1"/>
  <c r="Q451" i="2" s="1"/>
  <c r="I450" i="2"/>
  <c r="P450" i="2" s="1"/>
  <c r="Q450" i="2" s="1"/>
  <c r="I449" i="2"/>
  <c r="P449" i="2" s="1"/>
  <c r="Q449" i="2" s="1"/>
  <c r="I448" i="2"/>
  <c r="P448" i="2" s="1"/>
  <c r="I447" i="2"/>
  <c r="P447" i="2" s="1"/>
  <c r="I430" i="2"/>
  <c r="I428" i="2"/>
  <c r="P428" i="2" s="1"/>
  <c r="I424" i="2"/>
  <c r="P424" i="2" s="1"/>
  <c r="I423" i="2"/>
  <c r="I419" i="2"/>
  <c r="P419" i="2" s="1"/>
  <c r="Q419" i="2" s="1"/>
  <c r="I418" i="2"/>
  <c r="P418" i="2" s="1"/>
  <c r="Q418" i="2" s="1"/>
  <c r="I417" i="2"/>
  <c r="P417" i="2" s="1"/>
  <c r="Q417" i="2" s="1"/>
  <c r="I416" i="2"/>
  <c r="P416" i="2" s="1"/>
  <c r="Q416" i="2" s="1"/>
  <c r="I415" i="2"/>
  <c r="P415" i="2" s="1"/>
  <c r="I413" i="2"/>
  <c r="P413" i="2" s="1"/>
  <c r="Q413" i="2" s="1"/>
  <c r="I412" i="2"/>
  <c r="P412" i="2" s="1"/>
  <c r="Q412" i="2" s="1"/>
  <c r="I411" i="2"/>
  <c r="P411" i="2" s="1"/>
  <c r="Q411" i="2" s="1"/>
  <c r="I410" i="2"/>
  <c r="P410" i="2" s="1"/>
  <c r="Q410" i="2" s="1"/>
  <c r="I409" i="2"/>
  <c r="P409" i="2" s="1"/>
  <c r="Q409" i="2" s="1"/>
  <c r="I408" i="2"/>
  <c r="P408" i="2" s="1"/>
  <c r="Q408" i="2" s="1"/>
  <c r="I407" i="2"/>
  <c r="P407" i="2" s="1"/>
  <c r="Q407" i="2" s="1"/>
  <c r="I406" i="2"/>
  <c r="P406" i="2" s="1"/>
  <c r="I405" i="2"/>
  <c r="P405" i="2" s="1"/>
  <c r="Q405" i="2" s="1"/>
  <c r="I388" i="2"/>
  <c r="I386" i="2"/>
  <c r="P386" i="2" s="1"/>
  <c r="I382" i="2"/>
  <c r="P382" i="2" s="1"/>
  <c r="I381" i="2"/>
  <c r="I377" i="2"/>
  <c r="P377" i="2" s="1"/>
  <c r="Q377" i="2" s="1"/>
  <c r="I376" i="2"/>
  <c r="P376" i="2" s="1"/>
  <c r="I375" i="2"/>
  <c r="P375" i="2" s="1"/>
  <c r="Q375" i="2" s="1"/>
  <c r="I374" i="2"/>
  <c r="P374" i="2" s="1"/>
  <c r="Q374" i="2" s="1"/>
  <c r="I373" i="2"/>
  <c r="P373" i="2" s="1"/>
  <c r="Q373" i="2" s="1"/>
  <c r="I371" i="2"/>
  <c r="P371" i="2" s="1"/>
  <c r="Q371" i="2" s="1"/>
  <c r="I370" i="2"/>
  <c r="P370" i="2" s="1"/>
  <c r="I369" i="2"/>
  <c r="P369" i="2" s="1"/>
  <c r="Q369" i="2" s="1"/>
  <c r="I368" i="2"/>
  <c r="P368" i="2" s="1"/>
  <c r="Q368" i="2" s="1"/>
  <c r="I367" i="2"/>
  <c r="P367" i="2" s="1"/>
  <c r="Q367" i="2" s="1"/>
  <c r="I366" i="2"/>
  <c r="P366" i="2" s="1"/>
  <c r="Q366" i="2" s="1"/>
  <c r="I365" i="2"/>
  <c r="P365" i="2" s="1"/>
  <c r="Q365" i="2" s="1"/>
  <c r="I364" i="2"/>
  <c r="P364" i="2" s="1"/>
  <c r="I363" i="2"/>
  <c r="P363" i="2" s="1"/>
  <c r="I346" i="2"/>
  <c r="I344" i="2"/>
  <c r="P344" i="2" s="1"/>
  <c r="I340" i="2"/>
  <c r="P340" i="2" s="1"/>
  <c r="Q353" i="2" s="1"/>
  <c r="I339" i="2"/>
  <c r="I335" i="2"/>
  <c r="P335" i="2" s="1"/>
  <c r="Q335" i="2" s="1"/>
  <c r="I334" i="2"/>
  <c r="P334" i="2" s="1"/>
  <c r="Q334" i="2" s="1"/>
  <c r="I333" i="2"/>
  <c r="P333" i="2" s="1"/>
  <c r="Q333" i="2" s="1"/>
  <c r="I332" i="2"/>
  <c r="P332" i="2" s="1"/>
  <c r="Q332" i="2" s="1"/>
  <c r="I331" i="2"/>
  <c r="P331" i="2" s="1"/>
  <c r="I329" i="2"/>
  <c r="P329" i="2" s="1"/>
  <c r="Q329" i="2" s="1"/>
  <c r="I328" i="2"/>
  <c r="P328" i="2" s="1"/>
  <c r="I327" i="2"/>
  <c r="P327" i="2" s="1"/>
  <c r="I326" i="2"/>
  <c r="P326" i="2" s="1"/>
  <c r="I325" i="2"/>
  <c r="P325" i="2" s="1"/>
  <c r="Q325" i="2" s="1"/>
  <c r="I324" i="2"/>
  <c r="P324" i="2" s="1"/>
  <c r="I323" i="2"/>
  <c r="P323" i="2" s="1"/>
  <c r="Q323" i="2" s="1"/>
  <c r="I322" i="2"/>
  <c r="P322" i="2" s="1"/>
  <c r="I321" i="2"/>
  <c r="P321" i="2" s="1"/>
  <c r="Q321" i="2" s="1"/>
  <c r="I304" i="2"/>
  <c r="I302" i="2"/>
  <c r="P302" i="2" s="1"/>
  <c r="I298" i="2"/>
  <c r="P298" i="2" s="1"/>
  <c r="I297" i="2"/>
  <c r="I251" i="2"/>
  <c r="P251" i="2" s="1"/>
  <c r="Q251" i="2" s="1"/>
  <c r="I250" i="2"/>
  <c r="P250" i="2" s="1"/>
  <c r="Q250" i="2" s="1"/>
  <c r="I249" i="2"/>
  <c r="P249" i="2" s="1"/>
  <c r="Q249" i="2" s="1"/>
  <c r="I248" i="2"/>
  <c r="P248" i="2" s="1"/>
  <c r="Q248" i="2" s="1"/>
  <c r="I247" i="2"/>
  <c r="P247" i="2" s="1"/>
  <c r="Q247" i="2" s="1"/>
  <c r="I245" i="2"/>
  <c r="P245" i="2" s="1"/>
  <c r="Q245" i="2" s="1"/>
  <c r="I244" i="2"/>
  <c r="P244" i="2" s="1"/>
  <c r="I243" i="2"/>
  <c r="P243" i="2" s="1"/>
  <c r="Q243" i="2" s="1"/>
  <c r="I242" i="2"/>
  <c r="P242" i="2" s="1"/>
  <c r="I241" i="2"/>
  <c r="P241" i="2" s="1"/>
  <c r="I240" i="2"/>
  <c r="P240" i="2" s="1"/>
  <c r="I239" i="2"/>
  <c r="P239" i="2" s="1"/>
  <c r="Q239" i="2" s="1"/>
  <c r="I238" i="2"/>
  <c r="P238" i="2" s="1"/>
  <c r="I237" i="2"/>
  <c r="P237" i="2" s="1"/>
  <c r="I220" i="2"/>
  <c r="I218" i="2"/>
  <c r="P218" i="2" s="1"/>
  <c r="I214" i="2"/>
  <c r="P214" i="2" s="1"/>
  <c r="I213" i="2"/>
  <c r="I209" i="2"/>
  <c r="P209" i="2" s="1"/>
  <c r="Q209" i="2" s="1"/>
  <c r="I208" i="2"/>
  <c r="P208" i="2" s="1"/>
  <c r="Q208" i="2" s="1"/>
  <c r="I207" i="2"/>
  <c r="P207" i="2" s="1"/>
  <c r="Q207" i="2" s="1"/>
  <c r="I206" i="2"/>
  <c r="P206" i="2" s="1"/>
  <c r="Q206" i="2" s="1"/>
  <c r="I205" i="2"/>
  <c r="P205" i="2" s="1"/>
  <c r="Q205" i="2" s="1"/>
  <c r="I203" i="2"/>
  <c r="P203" i="2" s="1"/>
  <c r="Q203" i="2" s="1"/>
  <c r="I202" i="2"/>
  <c r="P202" i="2" s="1"/>
  <c r="Q202" i="2" s="1"/>
  <c r="I201" i="2"/>
  <c r="P201" i="2" s="1"/>
  <c r="I200" i="2"/>
  <c r="P200" i="2" s="1"/>
  <c r="Q200" i="2" s="1"/>
  <c r="I199" i="2"/>
  <c r="P199" i="2" s="1"/>
  <c r="Q199" i="2" s="1"/>
  <c r="I198" i="2"/>
  <c r="P198" i="2" s="1"/>
  <c r="Q198" i="2" s="1"/>
  <c r="I197" i="2"/>
  <c r="P197" i="2" s="1"/>
  <c r="Q197" i="2" s="1"/>
  <c r="I196" i="2"/>
  <c r="P196" i="2" s="1"/>
  <c r="Q196" i="2" s="1"/>
  <c r="I195" i="2"/>
  <c r="P195" i="2" s="1"/>
  <c r="Q195" i="2" s="1"/>
  <c r="I178" i="2"/>
  <c r="I176" i="2"/>
  <c r="P176" i="2" s="1"/>
  <c r="I172" i="2"/>
  <c r="P172" i="2" s="1"/>
  <c r="Q183" i="2" s="1"/>
  <c r="I171" i="2"/>
  <c r="I167" i="2"/>
  <c r="P167" i="2" s="1"/>
  <c r="I166" i="2"/>
  <c r="P166" i="2" s="1"/>
  <c r="I165" i="2"/>
  <c r="P165" i="2" s="1"/>
  <c r="Q165" i="2" s="1"/>
  <c r="I164" i="2"/>
  <c r="P164" i="2" s="1"/>
  <c r="I163" i="2"/>
  <c r="P163" i="2" s="1"/>
  <c r="Q163" i="2" s="1"/>
  <c r="I161" i="2"/>
  <c r="P161" i="2" s="1"/>
  <c r="Q161" i="2" s="1"/>
  <c r="I160" i="2"/>
  <c r="P160" i="2" s="1"/>
  <c r="Q160" i="2" s="1"/>
  <c r="I159" i="2"/>
  <c r="P159" i="2" s="1"/>
  <c r="Q159" i="2" s="1"/>
  <c r="I158" i="2"/>
  <c r="P158" i="2" s="1"/>
  <c r="Q158" i="2" s="1"/>
  <c r="I157" i="2"/>
  <c r="P157" i="2" s="1"/>
  <c r="Q157" i="2" s="1"/>
  <c r="I156" i="2"/>
  <c r="P156" i="2" s="1"/>
  <c r="I155" i="2"/>
  <c r="P155" i="2" s="1"/>
  <c r="Q155" i="2" s="1"/>
  <c r="I154" i="2"/>
  <c r="P154" i="2" s="1"/>
  <c r="I153" i="2"/>
  <c r="P153" i="2" s="1"/>
  <c r="Q153" i="2" s="1"/>
  <c r="I136" i="2"/>
  <c r="I134" i="2"/>
  <c r="P134" i="2" s="1"/>
  <c r="I130" i="2"/>
  <c r="P130" i="2" s="1"/>
  <c r="I129" i="2"/>
  <c r="I41" i="2"/>
  <c r="P41" i="2" s="1"/>
  <c r="Q41" i="2" s="1"/>
  <c r="I40" i="2"/>
  <c r="P40" i="2" s="1"/>
  <c r="Q40" i="2" s="1"/>
  <c r="I39" i="2"/>
  <c r="P39" i="2" s="1"/>
  <c r="Q39" i="2" s="1"/>
  <c r="I38" i="2"/>
  <c r="P38" i="2" s="1"/>
  <c r="Q38" i="2" s="1"/>
  <c r="I37" i="2"/>
  <c r="P37" i="2" s="1"/>
  <c r="Q37" i="2" s="1"/>
  <c r="I35" i="2"/>
  <c r="P35" i="2" s="1"/>
  <c r="Q35" i="2" s="1"/>
  <c r="I34" i="2"/>
  <c r="P34" i="2" s="1"/>
  <c r="Q34" i="2" s="1"/>
  <c r="I33" i="2"/>
  <c r="P33" i="2" s="1"/>
  <c r="I32" i="2"/>
  <c r="P32" i="2" s="1"/>
  <c r="I31" i="2"/>
  <c r="P31" i="2" s="1"/>
  <c r="Q31" i="2" s="1"/>
  <c r="I30" i="2"/>
  <c r="P30" i="2" s="1"/>
  <c r="Q30" i="2" s="1"/>
  <c r="I29" i="2"/>
  <c r="P29" i="2" s="1"/>
  <c r="Q29" i="2" s="1"/>
  <c r="I28" i="2"/>
  <c r="P28" i="2" s="1"/>
  <c r="Q28" i="2" s="1"/>
  <c r="I27" i="2"/>
  <c r="P27" i="2" s="1"/>
  <c r="Q27" i="2" s="1"/>
  <c r="I10" i="2"/>
  <c r="I8" i="2"/>
  <c r="P8" i="2" s="1"/>
  <c r="I4" i="2"/>
  <c r="P4" i="2" s="1"/>
  <c r="Q16" i="2" s="1"/>
  <c r="I3" i="2"/>
  <c r="I125" i="2"/>
  <c r="P125" i="2" s="1"/>
  <c r="I124" i="2"/>
  <c r="P124" i="2" s="1"/>
  <c r="I123" i="2"/>
  <c r="P123" i="2" s="1"/>
  <c r="I122" i="2"/>
  <c r="P122" i="2" s="1"/>
  <c r="I121" i="2"/>
  <c r="P121" i="2" s="1"/>
  <c r="I119" i="2"/>
  <c r="P119" i="2" s="1"/>
  <c r="Q119" i="2" s="1"/>
  <c r="I118" i="2"/>
  <c r="P118" i="2" s="1"/>
  <c r="Q118" i="2" s="1"/>
  <c r="I117" i="2"/>
  <c r="P117" i="2" s="1"/>
  <c r="Q117" i="2" s="1"/>
  <c r="I116" i="2"/>
  <c r="P116" i="2" s="1"/>
  <c r="Q116" i="2" s="1"/>
  <c r="I115" i="2"/>
  <c r="P115" i="2" s="1"/>
  <c r="Q115" i="2" s="1"/>
  <c r="I114" i="2"/>
  <c r="P114" i="2" s="1"/>
  <c r="Q114" i="2" s="1"/>
  <c r="I113" i="2"/>
  <c r="P113" i="2" s="1"/>
  <c r="Q113" i="2" s="1"/>
  <c r="I112" i="2"/>
  <c r="P112" i="2" s="1"/>
  <c r="Q112" i="2" s="1"/>
  <c r="I111" i="2"/>
  <c r="P111" i="2" s="1"/>
  <c r="I94" i="2"/>
  <c r="I88" i="2"/>
  <c r="P88" i="2" s="1"/>
  <c r="I87" i="2"/>
  <c r="I83" i="2"/>
  <c r="P83" i="2" s="1"/>
  <c r="I82" i="2"/>
  <c r="P82" i="2" s="1"/>
  <c r="I81" i="2"/>
  <c r="P81" i="2" s="1"/>
  <c r="I80" i="2"/>
  <c r="P80" i="2" s="1"/>
  <c r="I79" i="2"/>
  <c r="P79" i="2" s="1"/>
  <c r="I77" i="2"/>
  <c r="P77" i="2" s="1"/>
  <c r="Q77" i="2" s="1"/>
  <c r="I76" i="2"/>
  <c r="P76" i="2" s="1"/>
  <c r="Q76" i="2" s="1"/>
  <c r="I75" i="2"/>
  <c r="P75" i="2" s="1"/>
  <c r="Q75" i="2" s="1"/>
  <c r="I74" i="2"/>
  <c r="P74" i="2" s="1"/>
  <c r="Q74" i="2" s="1"/>
  <c r="I73" i="2"/>
  <c r="P73" i="2" s="1"/>
  <c r="Q73" i="2" s="1"/>
  <c r="I72" i="2"/>
  <c r="P72" i="2" s="1"/>
  <c r="Q72" i="2" s="1"/>
  <c r="I71" i="2"/>
  <c r="P71" i="2" s="1"/>
  <c r="Q71" i="2" s="1"/>
  <c r="I70" i="2"/>
  <c r="P70" i="2" s="1"/>
  <c r="Q70" i="2" s="1"/>
  <c r="I45" i="2"/>
  <c r="Q563" i="2" l="1"/>
  <c r="Q558" i="2"/>
  <c r="Q143" i="2"/>
  <c r="Q149" i="2"/>
  <c r="Q1066" i="2"/>
  <c r="Q1065" i="2"/>
  <c r="Q230" i="2"/>
  <c r="Q222" i="2"/>
  <c r="Q233" i="2"/>
  <c r="Q1235" i="2"/>
  <c r="Q1230" i="2"/>
  <c r="Q520" i="2"/>
  <c r="Q524" i="2"/>
  <c r="Q855" i="2"/>
  <c r="Q856" i="2"/>
  <c r="Q734" i="2"/>
  <c r="Q729" i="2"/>
  <c r="P1352" i="2"/>
  <c r="P1371" i="2"/>
  <c r="Q1371" i="2" s="1"/>
  <c r="I1415" i="2"/>
  <c r="P1415" i="2" s="1"/>
  <c r="P1379" i="2"/>
  <c r="Q1379" i="2" s="1"/>
  <c r="I1423" i="2"/>
  <c r="P1423" i="2" s="1"/>
  <c r="Q1423" i="2" s="1"/>
  <c r="P94" i="2"/>
  <c r="P95" i="2" s="1"/>
  <c r="I95" i="2"/>
  <c r="I137" i="2"/>
  <c r="P136" i="2"/>
  <c r="P137" i="2" s="1"/>
  <c r="I221" i="2"/>
  <c r="P220" i="2"/>
  <c r="P221" i="2" s="1"/>
  <c r="I641" i="2"/>
  <c r="P640" i="2"/>
  <c r="P641" i="2" s="1"/>
  <c r="I725" i="2"/>
  <c r="P724" i="2"/>
  <c r="P725" i="2" s="1"/>
  <c r="I767" i="2"/>
  <c r="P766" i="2"/>
  <c r="P767" i="2" s="1"/>
  <c r="I809" i="2"/>
  <c r="P808" i="2"/>
  <c r="P809" i="2" s="1"/>
  <c r="P850" i="2"/>
  <c r="P851" i="2" s="1"/>
  <c r="I851" i="2"/>
  <c r="I893" i="2"/>
  <c r="P892" i="2"/>
  <c r="P893" i="2" s="1"/>
  <c r="P934" i="2"/>
  <c r="P935" i="2" s="1"/>
  <c r="I935" i="2"/>
  <c r="I263" i="2"/>
  <c r="P262" i="2"/>
  <c r="P263" i="2" s="1"/>
  <c r="P976" i="2"/>
  <c r="P977" i="2" s="1"/>
  <c r="I977" i="2"/>
  <c r="I1019" i="2"/>
  <c r="P1018" i="2"/>
  <c r="P1019" i="2" s="1"/>
  <c r="I1061" i="2"/>
  <c r="P1060" i="2"/>
  <c r="P1061" i="2" s="1"/>
  <c r="I1103" i="2"/>
  <c r="P1102" i="2"/>
  <c r="P1103" i="2" s="1"/>
  <c r="I1145" i="2"/>
  <c r="P1144" i="2"/>
  <c r="P1145" i="2" s="1"/>
  <c r="I1187" i="2"/>
  <c r="P1186" i="2"/>
  <c r="P1187" i="2" s="1"/>
  <c r="P1228" i="2"/>
  <c r="P1229" i="2" s="1"/>
  <c r="I1229" i="2"/>
  <c r="P1270" i="2"/>
  <c r="P1271" i="2" s="1"/>
  <c r="I1271" i="2"/>
  <c r="I1313" i="2"/>
  <c r="P1312" i="2"/>
  <c r="P1313" i="2" s="1"/>
  <c r="P1354" i="2"/>
  <c r="I1355" i="2"/>
  <c r="I1398" i="2"/>
  <c r="P1372" i="2"/>
  <c r="I1416" i="2"/>
  <c r="P1416" i="2" s="1"/>
  <c r="P1381" i="2"/>
  <c r="Q1381" i="2" s="1"/>
  <c r="I1425" i="2"/>
  <c r="P1425" i="2" s="1"/>
  <c r="P1373" i="2"/>
  <c r="Q1373" i="2" s="1"/>
  <c r="I1417" i="2"/>
  <c r="P1417" i="2" s="1"/>
  <c r="Q1417" i="2" s="1"/>
  <c r="P1382" i="2"/>
  <c r="Q1382" i="2" s="1"/>
  <c r="I1426" i="2"/>
  <c r="P1426" i="2" s="1"/>
  <c r="I599" i="2"/>
  <c r="P598" i="2"/>
  <c r="P599" i="2" s="1"/>
  <c r="I557" i="2"/>
  <c r="P556" i="2"/>
  <c r="P557" i="2" s="1"/>
  <c r="Q164" i="2"/>
  <c r="P1374" i="2"/>
  <c r="Q1374" i="2" s="1"/>
  <c r="I1418" i="2"/>
  <c r="P1418" i="2" s="1"/>
  <c r="P1383" i="2"/>
  <c r="Q1383" i="2" s="1"/>
  <c r="I1427" i="2"/>
  <c r="P1427" i="2" s="1"/>
  <c r="Q154" i="2"/>
  <c r="I347" i="2"/>
  <c r="P346" i="2"/>
  <c r="P347" i="2" s="1"/>
  <c r="P1375" i="2"/>
  <c r="I1419" i="2"/>
  <c r="P1419" i="2" s="1"/>
  <c r="P1384" i="2"/>
  <c r="Q1384" i="2" s="1"/>
  <c r="I1428" i="2"/>
  <c r="P1428" i="2" s="1"/>
  <c r="I11" i="2"/>
  <c r="P10" i="2"/>
  <c r="P11" i="2" s="1"/>
  <c r="I305" i="2"/>
  <c r="P304" i="2"/>
  <c r="P305" i="2" s="1"/>
  <c r="P388" i="2"/>
  <c r="Q406" i="2" s="1"/>
  <c r="I389" i="2"/>
  <c r="I431" i="2"/>
  <c r="P430" i="2"/>
  <c r="P431" i="2" s="1"/>
  <c r="I515" i="2"/>
  <c r="P514" i="2"/>
  <c r="P515" i="2" s="1"/>
  <c r="I683" i="2"/>
  <c r="P682" i="2"/>
  <c r="P683" i="2" s="1"/>
  <c r="P45" i="2"/>
  <c r="P47" i="2" s="1"/>
  <c r="I47" i="2"/>
  <c r="I48" i="2"/>
  <c r="P48" i="2" s="1"/>
  <c r="I50" i="2"/>
  <c r="P50" i="2" s="1"/>
  <c r="P1376" i="2"/>
  <c r="I1420" i="2"/>
  <c r="P1420" i="2" s="1"/>
  <c r="P1385" i="2"/>
  <c r="Q1385" i="2" s="1"/>
  <c r="I1429" i="2"/>
  <c r="P1429" i="2" s="1"/>
  <c r="I179" i="2"/>
  <c r="P178" i="2"/>
  <c r="P179" i="2" s="1"/>
  <c r="I473" i="2"/>
  <c r="P472" i="2"/>
  <c r="P473" i="2" s="1"/>
  <c r="Q167" i="2"/>
  <c r="P3" i="2"/>
  <c r="P9" i="2" s="1"/>
  <c r="I9" i="2"/>
  <c r="I5" i="2"/>
  <c r="I135" i="2"/>
  <c r="P129" i="2"/>
  <c r="P135" i="2" s="1"/>
  <c r="I131" i="2"/>
  <c r="I173" i="2"/>
  <c r="I177" i="2"/>
  <c r="P171" i="2"/>
  <c r="P177" i="2" s="1"/>
  <c r="I219" i="2"/>
  <c r="I215" i="2"/>
  <c r="P213" i="2"/>
  <c r="P219" i="2" s="1"/>
  <c r="I303" i="2"/>
  <c r="P297" i="2"/>
  <c r="P299" i="2" s="1"/>
  <c r="I299" i="2"/>
  <c r="I345" i="2"/>
  <c r="I341" i="2"/>
  <c r="P339" i="2"/>
  <c r="P345" i="2" s="1"/>
  <c r="I387" i="2"/>
  <c r="I383" i="2"/>
  <c r="P381" i="2"/>
  <c r="P383" i="2" s="1"/>
  <c r="I429" i="2"/>
  <c r="I425" i="2"/>
  <c r="P423" i="2"/>
  <c r="P429" i="2" s="1"/>
  <c r="I471" i="2"/>
  <c r="P465" i="2"/>
  <c r="P471" i="2" s="1"/>
  <c r="I467" i="2"/>
  <c r="I513" i="2"/>
  <c r="I509" i="2"/>
  <c r="P507" i="2"/>
  <c r="P513" i="2" s="1"/>
  <c r="I597" i="2"/>
  <c r="I593" i="2"/>
  <c r="P591" i="2"/>
  <c r="P597" i="2" s="1"/>
  <c r="I639" i="2"/>
  <c r="I635" i="2"/>
  <c r="P633" i="2"/>
  <c r="P639" i="2" s="1"/>
  <c r="I555" i="2"/>
  <c r="I551" i="2"/>
  <c r="P549" i="2"/>
  <c r="P555" i="2" s="1"/>
  <c r="I681" i="2"/>
  <c r="I677" i="2"/>
  <c r="P675" i="2"/>
  <c r="P677" i="2" s="1"/>
  <c r="I723" i="2"/>
  <c r="P717" i="2"/>
  <c r="P723" i="2" s="1"/>
  <c r="I719" i="2"/>
  <c r="I765" i="2"/>
  <c r="I761" i="2"/>
  <c r="P759" i="2"/>
  <c r="P765" i="2" s="1"/>
  <c r="I803" i="2"/>
  <c r="I807" i="2"/>
  <c r="P801" i="2"/>
  <c r="P807" i="2" s="1"/>
  <c r="I849" i="2"/>
  <c r="I845" i="2"/>
  <c r="P843" i="2"/>
  <c r="P849" i="2" s="1"/>
  <c r="I891" i="2"/>
  <c r="I887" i="2"/>
  <c r="P885" i="2"/>
  <c r="P891" i="2" s="1"/>
  <c r="I933" i="2"/>
  <c r="I929" i="2"/>
  <c r="P927" i="2"/>
  <c r="P933" i="2" s="1"/>
  <c r="I261" i="2"/>
  <c r="P255" i="2"/>
  <c r="P261" i="2" s="1"/>
  <c r="I257" i="2"/>
  <c r="I975" i="2"/>
  <c r="P969" i="2"/>
  <c r="P975" i="2" s="1"/>
  <c r="I971" i="2"/>
  <c r="I1017" i="2"/>
  <c r="I1013" i="2"/>
  <c r="P1011" i="2"/>
  <c r="P1017" i="2" s="1"/>
  <c r="I1059" i="2"/>
  <c r="I1055" i="2"/>
  <c r="P1053" i="2"/>
  <c r="P1059" i="2" s="1"/>
  <c r="I1101" i="2"/>
  <c r="P1095" i="2"/>
  <c r="P1101" i="2" s="1"/>
  <c r="I1097" i="2"/>
  <c r="I1143" i="2"/>
  <c r="I1139" i="2"/>
  <c r="P1137" i="2"/>
  <c r="P1143" i="2" s="1"/>
  <c r="I1185" i="2"/>
  <c r="I1181" i="2"/>
  <c r="P1179" i="2"/>
  <c r="P1185" i="2" s="1"/>
  <c r="I1227" i="2"/>
  <c r="I1223" i="2"/>
  <c r="P1221" i="2"/>
  <c r="P1227" i="2" s="1"/>
  <c r="I1269" i="2"/>
  <c r="I1265" i="2"/>
  <c r="P1263" i="2"/>
  <c r="P1269" i="2" s="1"/>
  <c r="P1305" i="2"/>
  <c r="P1311" i="2" s="1"/>
  <c r="I1307" i="2"/>
  <c r="I1311" i="2"/>
  <c r="I1353" i="2"/>
  <c r="I1391" i="2"/>
  <c r="P1391" i="2" s="1"/>
  <c r="P1347" i="2"/>
  <c r="I1349" i="2"/>
  <c r="P1377" i="2"/>
  <c r="I1421" i="2"/>
  <c r="P1421" i="2" s="1"/>
  <c r="Q96" i="2"/>
  <c r="Q97" i="2"/>
  <c r="I89" i="2"/>
  <c r="I93" i="2"/>
  <c r="P87" i="2"/>
  <c r="P93" i="2" s="1"/>
  <c r="Q21" i="2"/>
  <c r="Q17" i="2"/>
  <c r="Q142" i="2"/>
  <c r="Q140" i="2"/>
  <c r="Q139" i="2"/>
  <c r="Q146" i="2"/>
  <c r="Q141" i="2"/>
  <c r="Q185" i="2"/>
  <c r="Q181" i="2"/>
  <c r="Q225" i="2"/>
  <c r="Q226" i="2"/>
  <c r="Q224" i="2"/>
  <c r="Q228" i="2"/>
  <c r="Q223" i="2"/>
  <c r="Q308" i="2"/>
  <c r="Q312" i="2"/>
  <c r="Q307" i="2"/>
  <c r="Q309" i="2"/>
  <c r="Q311" i="2"/>
  <c r="Q314" i="2"/>
  <c r="Q310" i="2"/>
  <c r="Q356" i="2"/>
  <c r="Q354" i="2"/>
  <c r="Q351" i="2"/>
  <c r="Q349" i="2"/>
  <c r="Q350" i="2"/>
  <c r="Q391" i="2"/>
  <c r="Q435" i="2"/>
  <c r="Q436" i="2"/>
  <c r="Q433" i="2"/>
  <c r="Q432" i="2"/>
  <c r="Q477" i="2"/>
  <c r="Q475" i="2"/>
  <c r="Q479" i="2"/>
  <c r="Q482" i="2"/>
  <c r="Q474" i="2"/>
  <c r="Q528" i="2"/>
  <c r="Q519" i="2"/>
  <c r="Q522" i="2"/>
  <c r="Q517" i="2"/>
  <c r="Q601" i="2"/>
  <c r="Q643" i="2"/>
  <c r="Q566" i="2"/>
  <c r="Q561" i="2"/>
  <c r="Q559" i="2"/>
  <c r="Q560" i="2"/>
  <c r="Q685" i="2"/>
  <c r="Q692" i="2"/>
  <c r="Q727" i="2"/>
  <c r="Q769" i="2"/>
  <c r="Q781" i="2"/>
  <c r="Q776" i="2"/>
  <c r="Q774" i="2"/>
  <c r="Q768" i="2"/>
  <c r="Q770" i="2"/>
  <c r="Q811" i="2"/>
  <c r="Q818" i="2"/>
  <c r="Q857" i="2"/>
  <c r="Q853" i="2"/>
  <c r="Q899" i="2"/>
  <c r="Q895" i="2"/>
  <c r="Q898" i="2"/>
  <c r="Q944" i="2"/>
  <c r="Q937" i="2"/>
  <c r="Q940" i="2"/>
  <c r="Q939" i="2"/>
  <c r="Q265" i="2"/>
  <c r="Q979" i="2"/>
  <c r="Q982" i="2"/>
  <c r="Q983" i="2"/>
  <c r="Q1021" i="2"/>
  <c r="Q1023" i="2"/>
  <c r="Q1024" i="2"/>
  <c r="Q1025" i="2"/>
  <c r="Q1070" i="2"/>
  <c r="Q1063" i="2"/>
  <c r="Q1062" i="2"/>
  <c r="Q1105" i="2"/>
  <c r="Q1112" i="2"/>
  <c r="Q1146" i="2"/>
  <c r="Q1147" i="2"/>
  <c r="Q1149" i="2"/>
  <c r="Q1189" i="2"/>
  <c r="Q1196" i="2"/>
  <c r="Q1193" i="2"/>
  <c r="Q1231" i="2"/>
  <c r="Q1233" i="2"/>
  <c r="Q1276" i="2"/>
  <c r="Q1273" i="2"/>
  <c r="Q1275" i="2"/>
  <c r="Q1315" i="2"/>
  <c r="Q1314" i="2"/>
  <c r="Q1317" i="2"/>
  <c r="Q1322" i="2"/>
  <c r="Q1318" i="2"/>
  <c r="P1348" i="2"/>
  <c r="I1392" i="2"/>
  <c r="P1378" i="2"/>
  <c r="Q1378" i="2" s="1"/>
  <c r="I1422" i="2"/>
  <c r="P1422" i="2" s="1"/>
  <c r="I90" i="2"/>
  <c r="P90" i="2" s="1"/>
  <c r="I132" i="2"/>
  <c r="P132" i="2" s="1"/>
  <c r="I174" i="2"/>
  <c r="P174" i="2" s="1"/>
  <c r="I216" i="2"/>
  <c r="P216" i="2" s="1"/>
  <c r="P217" i="2" s="1"/>
  <c r="I300" i="2"/>
  <c r="P300" i="2" s="1"/>
  <c r="I426" i="2"/>
  <c r="P426" i="2" s="1"/>
  <c r="I594" i="2"/>
  <c r="P594" i="2" s="1"/>
  <c r="I636" i="2"/>
  <c r="P636" i="2" s="1"/>
  <c r="I110" i="2"/>
  <c r="P110" i="2" s="1"/>
  <c r="I488" i="2"/>
  <c r="P488" i="2" s="1"/>
  <c r="I572" i="2"/>
  <c r="P572" i="2" s="1"/>
  <c r="I698" i="2"/>
  <c r="P698" i="2" s="1"/>
  <c r="I740" i="2"/>
  <c r="P740" i="2" s="1"/>
  <c r="I804" i="2"/>
  <c r="P804" i="2" s="1"/>
  <c r="I258" i="2"/>
  <c r="P258" i="2" s="1"/>
  <c r="I278" i="2"/>
  <c r="P278" i="2" s="1"/>
  <c r="Q278" i="2" s="1"/>
  <c r="I992" i="2"/>
  <c r="P992" i="2" s="1"/>
  <c r="I1034" i="2"/>
  <c r="P1034" i="2" s="1"/>
  <c r="I1244" i="2"/>
  <c r="P1244" i="2" s="1"/>
  <c r="I1266" i="2"/>
  <c r="P1266" i="2" s="1"/>
  <c r="I6" i="2"/>
  <c r="P6" i="2" s="1"/>
  <c r="I204" i="2"/>
  <c r="P204" i="2" s="1"/>
  <c r="Q204" i="2" s="1"/>
  <c r="I624" i="2"/>
  <c r="P624" i="2" s="1"/>
  <c r="Q624" i="2" s="1"/>
  <c r="I666" i="2"/>
  <c r="P666" i="2" s="1"/>
  <c r="Q666" i="2" s="1"/>
  <c r="I750" i="2"/>
  <c r="P750" i="2" s="1"/>
  <c r="Q750" i="2" s="1"/>
  <c r="I824" i="2"/>
  <c r="P824" i="2" s="1"/>
  <c r="I834" i="2"/>
  <c r="P834" i="2" s="1"/>
  <c r="I918" i="2"/>
  <c r="P918" i="2" s="1"/>
  <c r="Q918" i="2" s="1"/>
  <c r="I960" i="2"/>
  <c r="P960" i="2" s="1"/>
  <c r="I1044" i="2"/>
  <c r="P1044" i="2" s="1"/>
  <c r="I1118" i="2"/>
  <c r="P1118" i="2" s="1"/>
  <c r="I1128" i="2"/>
  <c r="P1128" i="2" s="1"/>
  <c r="I1212" i="2"/>
  <c r="P1212" i="2" s="1"/>
  <c r="I1254" i="2"/>
  <c r="P1254" i="2" s="1"/>
  <c r="Q1254" i="2" s="1"/>
  <c r="I1296" i="2"/>
  <c r="P1296" i="2" s="1"/>
  <c r="Q1296" i="2" s="1"/>
  <c r="I1380" i="2"/>
  <c r="I78" i="2"/>
  <c r="P78" i="2" s="1"/>
  <c r="Q78" i="2" s="1"/>
  <c r="I26" i="2"/>
  <c r="P26" i="2" s="1"/>
  <c r="I36" i="2"/>
  <c r="P36" i="2" s="1"/>
  <c r="Q36" i="2" s="1"/>
  <c r="I162" i="2"/>
  <c r="P162" i="2" s="1"/>
  <c r="Q162" i="2" s="1"/>
  <c r="I320" i="2"/>
  <c r="P320" i="2" s="1"/>
  <c r="I468" i="2"/>
  <c r="P468" i="2" s="1"/>
  <c r="I510" i="2"/>
  <c r="P510" i="2" s="1"/>
  <c r="I782" i="2"/>
  <c r="P782" i="2" s="1"/>
  <c r="Q782" i="2" s="1"/>
  <c r="I1076" i="2"/>
  <c r="P1076" i="2" s="1"/>
  <c r="Q1076" i="2" s="1"/>
  <c r="I414" i="2"/>
  <c r="P414" i="2" s="1"/>
  <c r="Q414" i="2" s="1"/>
  <c r="I762" i="2"/>
  <c r="P762" i="2" s="1"/>
  <c r="I846" i="2"/>
  <c r="P846" i="2" s="1"/>
  <c r="I888" i="2"/>
  <c r="P888" i="2" s="1"/>
  <c r="I930" i="2"/>
  <c r="P930" i="2" s="1"/>
  <c r="I1056" i="2"/>
  <c r="P1056" i="2" s="1"/>
  <c r="I1140" i="2"/>
  <c r="P1140" i="2" s="1"/>
  <c r="I1182" i="2"/>
  <c r="P1182" i="2" s="1"/>
  <c r="I1098" i="2"/>
  <c r="P1098" i="2" s="1"/>
  <c r="I1170" i="2"/>
  <c r="P1170" i="2" s="1"/>
  <c r="Q1170" i="2" s="1"/>
  <c r="I236" i="2"/>
  <c r="P236" i="2" s="1"/>
  <c r="I342" i="2"/>
  <c r="P342" i="2" s="1"/>
  <c r="I384" i="2"/>
  <c r="P384" i="2" s="1"/>
  <c r="I456" i="2"/>
  <c r="P456" i="2" s="1"/>
  <c r="Q456" i="2" s="1"/>
  <c r="I530" i="2"/>
  <c r="P530" i="2" s="1"/>
  <c r="I614" i="2"/>
  <c r="P614" i="2" s="1"/>
  <c r="Q614" i="2" s="1"/>
  <c r="I656" i="2"/>
  <c r="P656" i="2" s="1"/>
  <c r="I582" i="2"/>
  <c r="P582" i="2" s="1"/>
  <c r="I972" i="2"/>
  <c r="P972" i="2" s="1"/>
  <c r="I1002" i="2"/>
  <c r="P1002" i="2" s="1"/>
  <c r="Q1002" i="2" s="1"/>
  <c r="I1014" i="2"/>
  <c r="P1014" i="2" s="1"/>
  <c r="I1086" i="2"/>
  <c r="P1086" i="2" s="1"/>
  <c r="Q1086" i="2" s="1"/>
  <c r="I1160" i="2"/>
  <c r="P1160" i="2" s="1"/>
  <c r="I1202" i="2"/>
  <c r="P1202" i="2" s="1"/>
  <c r="I1224" i="2"/>
  <c r="P1224" i="2" s="1"/>
  <c r="I1308" i="2"/>
  <c r="P1308" i="2" s="1"/>
  <c r="I1338" i="2"/>
  <c r="P1338" i="2" s="1"/>
  <c r="Q1338" i="2" s="1"/>
  <c r="I1350" i="2"/>
  <c r="I1351" i="2" s="1"/>
  <c r="I246" i="2"/>
  <c r="P246" i="2" s="1"/>
  <c r="Q246" i="2" s="1"/>
  <c r="I362" i="2"/>
  <c r="P362" i="2" s="1"/>
  <c r="I404" i="2"/>
  <c r="P404" i="2" s="1"/>
  <c r="Q404" i="2" s="1"/>
  <c r="I446" i="2"/>
  <c r="P446" i="2" s="1"/>
  <c r="I498" i="2"/>
  <c r="P498" i="2" s="1"/>
  <c r="I708" i="2"/>
  <c r="P708" i="2" s="1"/>
  <c r="I876" i="2"/>
  <c r="P876" i="2" s="1"/>
  <c r="Q876" i="2" s="1"/>
  <c r="I1286" i="2"/>
  <c r="P1286" i="2" s="1"/>
  <c r="I1328" i="2"/>
  <c r="P1328" i="2" s="1"/>
  <c r="I1370" i="2"/>
  <c r="I120" i="2"/>
  <c r="P120" i="2" s="1"/>
  <c r="Q120" i="2" s="1"/>
  <c r="I152" i="2"/>
  <c r="P152" i="2" s="1"/>
  <c r="Q152" i="2" s="1"/>
  <c r="I194" i="2"/>
  <c r="P194" i="2" s="1"/>
  <c r="I330" i="2"/>
  <c r="P330" i="2" s="1"/>
  <c r="I372" i="2"/>
  <c r="P372" i="2" s="1"/>
  <c r="I540" i="2"/>
  <c r="P540" i="2" s="1"/>
  <c r="Q540" i="2" s="1"/>
  <c r="I552" i="2"/>
  <c r="P552" i="2" s="1"/>
  <c r="I678" i="2"/>
  <c r="P678" i="2" s="1"/>
  <c r="I720" i="2"/>
  <c r="P720" i="2" s="1"/>
  <c r="P721" i="2" s="1"/>
  <c r="I792" i="2"/>
  <c r="P792" i="2" s="1"/>
  <c r="Q792" i="2" s="1"/>
  <c r="I866" i="2"/>
  <c r="P866" i="2" s="1"/>
  <c r="Q866" i="2" s="1"/>
  <c r="I908" i="2"/>
  <c r="P908" i="2" s="1"/>
  <c r="I950" i="2"/>
  <c r="P950" i="2" s="1"/>
  <c r="I288" i="2"/>
  <c r="P288" i="2" s="1"/>
  <c r="Q288" i="2" s="1"/>
  <c r="I68" i="2"/>
  <c r="P68" i="2" s="1"/>
  <c r="Q68" i="2" s="1"/>
  <c r="Q1202" i="2" l="1"/>
  <c r="P385" i="2"/>
  <c r="Q1038" i="2"/>
  <c r="Q1377" i="2"/>
  <c r="Q579" i="2"/>
  <c r="Q495" i="2"/>
  <c r="Q996" i="2"/>
  <c r="Q829" i="2"/>
  <c r="Q573" i="2"/>
  <c r="Q828" i="2"/>
  <c r="P1267" i="2"/>
  <c r="Q1165" i="2"/>
  <c r="P679" i="2"/>
  <c r="Q241" i="2"/>
  <c r="Q1204" i="2"/>
  <c r="Q534" i="2"/>
  <c r="Q1251" i="2"/>
  <c r="Q998" i="2"/>
  <c r="Q786" i="2"/>
  <c r="Q156" i="2"/>
  <c r="Q834" i="2"/>
  <c r="P931" i="2"/>
  <c r="Q824" i="2"/>
  <c r="Q244" i="2"/>
  <c r="Q236" i="2"/>
  <c r="P637" i="2"/>
  <c r="P215" i="2"/>
  <c r="P1225" i="2"/>
  <c r="P635" i="2"/>
  <c r="P1355" i="2"/>
  <c r="Q1286" i="2"/>
  <c r="Q194" i="2"/>
  <c r="Q446" i="2"/>
  <c r="Q237" i="2"/>
  <c r="Q1292" i="2"/>
  <c r="P341" i="2"/>
  <c r="P343" i="2"/>
  <c r="Q1212" i="2"/>
  <c r="Q1034" i="2"/>
  <c r="P1181" i="2"/>
  <c r="Q742" i="2"/>
  <c r="Q494" i="2"/>
  <c r="Q1044" i="2"/>
  <c r="P469" i="2"/>
  <c r="P1097" i="2"/>
  <c r="P1099" i="2"/>
  <c r="P1183" i="2"/>
  <c r="Q740" i="2"/>
  <c r="Q1360" i="2"/>
  <c r="Q1361" i="2"/>
  <c r="Q1359" i="2"/>
  <c r="P467" i="2"/>
  <c r="P511" i="2"/>
  <c r="Q572" i="2"/>
  <c r="Q999" i="2"/>
  <c r="Q1215" i="2"/>
  <c r="Q1082" i="2"/>
  <c r="Q992" i="2"/>
  <c r="P91" i="2"/>
  <c r="Q582" i="2"/>
  <c r="Q498" i="2"/>
  <c r="Q656" i="2"/>
  <c r="Q1333" i="2"/>
  <c r="Q1248" i="2"/>
  <c r="P301" i="2"/>
  <c r="Q1376" i="2"/>
  <c r="Q1162" i="2"/>
  <c r="P1015" i="2"/>
  <c r="Q488" i="2"/>
  <c r="Q658" i="2"/>
  <c r="Q490" i="2"/>
  <c r="Q1245" i="2"/>
  <c r="P551" i="2"/>
  <c r="P303" i="2"/>
  <c r="Q745" i="2"/>
  <c r="Q1045" i="2"/>
  <c r="Q499" i="2"/>
  <c r="P847" i="2"/>
  <c r="Q1078" i="2"/>
  <c r="Q32" i="2"/>
  <c r="Q1249" i="2"/>
  <c r="Q872" i="2"/>
  <c r="Q363" i="2"/>
  <c r="P973" i="2"/>
  <c r="P595" i="2"/>
  <c r="P7" i="2"/>
  <c r="P593" i="2"/>
  <c r="Q1244" i="2"/>
  <c r="P175" i="2"/>
  <c r="P5" i="2"/>
  <c r="P889" i="2"/>
  <c r="Q320" i="2"/>
  <c r="P1141" i="2"/>
  <c r="Q530" i="2"/>
  <c r="P553" i="2"/>
  <c r="Q110" i="2"/>
  <c r="Q538" i="2"/>
  <c r="Q26" i="2"/>
  <c r="P971" i="2"/>
  <c r="P929" i="2"/>
  <c r="P719" i="2"/>
  <c r="P845" i="2"/>
  <c r="P173" i="2"/>
  <c r="Q452" i="2"/>
  <c r="Q838" i="2"/>
  <c r="Q950" i="2"/>
  <c r="P763" i="2"/>
  <c r="P259" i="2"/>
  <c r="P1139" i="2"/>
  <c r="Q326" i="2"/>
  <c r="Q796" i="2"/>
  <c r="Q330" i="2"/>
  <c r="Q1328" i="2"/>
  <c r="P427" i="2"/>
  <c r="P509" i="2"/>
  <c r="Q242" i="2"/>
  <c r="Q166" i="2"/>
  <c r="Q960" i="2"/>
  <c r="P1223" i="2"/>
  <c r="P257" i="2"/>
  <c r="P761" i="2"/>
  <c r="P425" i="2"/>
  <c r="P131" i="2"/>
  <c r="Q698" i="2"/>
  <c r="Q961" i="2"/>
  <c r="Q708" i="2"/>
  <c r="Q1160" i="2"/>
  <c r="P1265" i="2"/>
  <c r="P1013" i="2"/>
  <c r="P887" i="2"/>
  <c r="Q1041" i="2"/>
  <c r="Q1334" i="2"/>
  <c r="Q238" i="2"/>
  <c r="Q240" i="2"/>
  <c r="Q1036" i="2"/>
  <c r="Q952" i="2"/>
  <c r="P133" i="2"/>
  <c r="Q331" i="2"/>
  <c r="Q915" i="2"/>
  <c r="Q1128" i="2"/>
  <c r="Q201" i="2"/>
  <c r="Q914" i="2"/>
  <c r="Q372" i="2"/>
  <c r="Q362" i="2"/>
  <c r="Q1118" i="2"/>
  <c r="P1055" i="2"/>
  <c r="Q908" i="2"/>
  <c r="P1309" i="2"/>
  <c r="P805" i="2"/>
  <c r="Q1330" i="2"/>
  <c r="P803" i="2"/>
  <c r="Q370" i="2"/>
  <c r="P89" i="2"/>
  <c r="Q502" i="2"/>
  <c r="Q376" i="2"/>
  <c r="Q784" i="2"/>
  <c r="P1057" i="2"/>
  <c r="Q1288" i="2"/>
  <c r="Q994" i="2"/>
  <c r="I595" i="2"/>
  <c r="I469" i="2"/>
  <c r="Q324" i="2"/>
  <c r="Q532" i="2"/>
  <c r="Q1035" i="2"/>
  <c r="Q783" i="2"/>
  <c r="I1225" i="2"/>
  <c r="I1141" i="2"/>
  <c r="I1057" i="2"/>
  <c r="I259" i="2"/>
  <c r="I553" i="2"/>
  <c r="Q33" i="2"/>
  <c r="Q322" i="2"/>
  <c r="I49" i="2"/>
  <c r="Q415" i="2"/>
  <c r="P389" i="2"/>
  <c r="P387" i="2"/>
  <c r="Q1372" i="2"/>
  <c r="Q826" i="2"/>
  <c r="Q709" i="2"/>
  <c r="P1380" i="2"/>
  <c r="Q1380" i="2" s="1"/>
  <c r="I1424" i="2"/>
  <c r="P1424" i="2" s="1"/>
  <c r="I91" i="2"/>
  <c r="I805" i="2"/>
  <c r="I721" i="2"/>
  <c r="I301" i="2"/>
  <c r="P1398" i="2"/>
  <c r="Q1420" i="2" s="1"/>
  <c r="Q1129" i="2"/>
  <c r="Q700" i="2"/>
  <c r="Q328" i="2"/>
  <c r="I1309" i="2"/>
  <c r="I763" i="2"/>
  <c r="I679" i="2"/>
  <c r="I511" i="2"/>
  <c r="Q1375" i="2"/>
  <c r="Q1246" i="2"/>
  <c r="Q1120" i="2"/>
  <c r="Q574" i="2"/>
  <c r="Q1161" i="2"/>
  <c r="P681" i="2"/>
  <c r="I1393" i="2"/>
  <c r="P1392" i="2"/>
  <c r="I973" i="2"/>
  <c r="I847" i="2"/>
  <c r="I637" i="2"/>
  <c r="I427" i="2"/>
  <c r="I343" i="2"/>
  <c r="I217" i="2"/>
  <c r="I175" i="2"/>
  <c r="I7" i="2"/>
  <c r="P51" i="2"/>
  <c r="P53" i="2"/>
  <c r="I1396" i="2"/>
  <c r="I1399" i="2" s="1"/>
  <c r="P1349" i="2"/>
  <c r="Q1362" i="2"/>
  <c r="Q1357" i="2"/>
  <c r="I1267" i="2"/>
  <c r="I1183" i="2"/>
  <c r="I1099" i="2"/>
  <c r="I1015" i="2"/>
  <c r="I931" i="2"/>
  <c r="I133" i="2"/>
  <c r="P49" i="2"/>
  <c r="Q1164" i="2"/>
  <c r="P1353" i="2"/>
  <c r="P1350" i="2"/>
  <c r="P1351" i="2" s="1"/>
  <c r="I1394" i="2"/>
  <c r="I51" i="2"/>
  <c r="Q868" i="2"/>
  <c r="Q448" i="2"/>
  <c r="Q489" i="2"/>
  <c r="Q1329" i="2"/>
  <c r="Q1077" i="2"/>
  <c r="P1370" i="2"/>
  <c r="Q1370" i="2" s="1"/>
  <c r="I1414" i="2"/>
  <c r="P1414" i="2" s="1"/>
  <c r="Q1414" i="2" s="1"/>
  <c r="P1307" i="2"/>
  <c r="I889" i="2"/>
  <c r="I385" i="2"/>
  <c r="Q327" i="2"/>
  <c r="Q535" i="2"/>
  <c r="Q585" i="2"/>
  <c r="Q364" i="2"/>
  <c r="Q111" i="2"/>
  <c r="Q447" i="2"/>
  <c r="Q1409" i="2" l="1"/>
  <c r="Q1411" i="2"/>
  <c r="Q1415" i="2"/>
  <c r="I1395" i="2"/>
  <c r="P1394" i="2"/>
  <c r="P1395" i="2" s="1"/>
  <c r="Q1416" i="2"/>
  <c r="Q1412" i="2"/>
  <c r="Q1402" i="2"/>
  <c r="Q1404" i="2"/>
  <c r="Q1401" i="2"/>
  <c r="Q1403" i="2"/>
  <c r="Q1413" i="2"/>
  <c r="Q1405" i="2"/>
  <c r="P1393" i="2"/>
  <c r="Q1408" i="2"/>
  <c r="Q1406" i="2"/>
  <c r="Q1400" i="2"/>
  <c r="Q1422" i="2"/>
  <c r="Q1427" i="2"/>
  <c r="Q1426" i="2"/>
  <c r="Q1424" i="2"/>
  <c r="Q1428" i="2"/>
  <c r="Q1418" i="2"/>
  <c r="Q1429" i="2"/>
  <c r="Q1421" i="2"/>
  <c r="Q1425" i="2"/>
  <c r="I1397" i="2"/>
  <c r="P1396" i="2"/>
  <c r="P1397" i="2" s="1"/>
  <c r="Q1419" i="2"/>
  <c r="P1399" i="2" l="1"/>
</calcChain>
</file>

<file path=xl/sharedStrings.xml><?xml version="1.0" encoding="utf-8"?>
<sst xmlns="http://schemas.openxmlformats.org/spreadsheetml/2006/main" count="1973" uniqueCount="123">
  <si>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</si>
  <si>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</si>
  <si>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</si>
  <si>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</si>
  <si>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</si>
  <si>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</si>
  <si>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</si>
  <si>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</si>
  <si>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</si>
  <si>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</si>
  <si>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</si>
  <si>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</si>
  <si>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Total</t>
  </si>
  <si>
    <t>Fare Query</t>
  </si>
  <si>
    <t>BEXLEY</t>
  </si>
  <si>
    <t>BRENT</t>
  </si>
  <si>
    <t>BROMLEY</t>
  </si>
  <si>
    <t>CAMDEN</t>
  </si>
  <si>
    <t>CROYDON</t>
  </si>
  <si>
    <t>EALING</t>
  </si>
  <si>
    <t>ENFIELD</t>
  </si>
  <si>
    <t>HACKNEY</t>
  </si>
  <si>
    <t>HARINGEY</t>
  </si>
  <si>
    <t>HARROW</t>
  </si>
  <si>
    <t>HAVERING</t>
  </si>
  <si>
    <t>HILLINGDON</t>
  </si>
  <si>
    <t>HOUNSLOW</t>
  </si>
  <si>
    <t>ISLINGTON</t>
  </si>
  <si>
    <t>LAMBETH</t>
  </si>
  <si>
    <t>LEWISHAM</t>
  </si>
  <si>
    <t>MERTON</t>
  </si>
  <si>
    <t>NEWHAM</t>
  </si>
  <si>
    <t>RICHMOND</t>
  </si>
  <si>
    <t>SOUTHWARK</t>
  </si>
  <si>
    <t>SUTTON</t>
  </si>
  <si>
    <t>TOWER HAMLETS</t>
  </si>
  <si>
    <t>WALTHAM FOREST</t>
  </si>
  <si>
    <t>WANDSWORTH</t>
  </si>
  <si>
    <t>Chargeable Trips</t>
  </si>
  <si>
    <t>BARKING &amp; DAGENHAM</t>
  </si>
  <si>
    <t>KINGSTON UPON THAMES</t>
  </si>
  <si>
    <t>HAMMERSMITH &amp; FULHAM</t>
  </si>
  <si>
    <t>KENSINGTON &amp; CHELSEA</t>
  </si>
  <si>
    <t>REDBRIDGE</t>
  </si>
  <si>
    <t>GREENWICH</t>
  </si>
  <si>
    <t>BARNET</t>
  </si>
  <si>
    <t>WAN</t>
  </si>
  <si>
    <t>WAL</t>
  </si>
  <si>
    <t>TOW</t>
  </si>
  <si>
    <t>SUT</t>
  </si>
  <si>
    <t>SOU</t>
  </si>
  <si>
    <t>RIC</t>
  </si>
  <si>
    <t>RED</t>
  </si>
  <si>
    <t>MER</t>
  </si>
  <si>
    <t>LEW</t>
  </si>
  <si>
    <t>LAM</t>
  </si>
  <si>
    <t>KIN</t>
  </si>
  <si>
    <t>KEN</t>
  </si>
  <si>
    <t>ISL</t>
  </si>
  <si>
    <t>HOU</t>
  </si>
  <si>
    <t>HIL</t>
  </si>
  <si>
    <t>HAV</t>
  </si>
  <si>
    <t>HAM</t>
  </si>
  <si>
    <t>HAC</t>
  </si>
  <si>
    <t>GRE</t>
  </si>
  <si>
    <t>ENF</t>
  </si>
  <si>
    <t>EAL</t>
  </si>
  <si>
    <t>CRO</t>
  </si>
  <si>
    <t>LON</t>
  </si>
  <si>
    <t>CITY OF LONDON</t>
  </si>
  <si>
    <t>CAM</t>
  </si>
  <si>
    <t>BRO</t>
  </si>
  <si>
    <t>BRE</t>
  </si>
  <si>
    <t>BEX</t>
  </si>
  <si>
    <t>BAR</t>
  </si>
  <si>
    <t>BND</t>
  </si>
  <si>
    <t>HAR</t>
  </si>
  <si>
    <t>Booking Error</t>
  </si>
  <si>
    <t>Operator Issue</t>
  </si>
  <si>
    <t>Ringback</t>
  </si>
  <si>
    <t>Run-In too high</t>
  </si>
  <si>
    <t>System/Gazetteer Problem</t>
  </si>
  <si>
    <t>Taxi arrived at incorrect Location</t>
  </si>
  <si>
    <t>Waiting time charge query</t>
  </si>
  <si>
    <t>NEW</t>
  </si>
  <si>
    <t>WESTMINSTER</t>
  </si>
  <si>
    <t>WES</t>
  </si>
  <si>
    <t>No Vehicle</t>
  </si>
  <si>
    <t>Early Vehicle</t>
  </si>
  <si>
    <t>Driver  (Rude/Abusive/Un-helpful/etc.)</t>
  </si>
  <si>
    <t>Breakdown of Complaints Upheld</t>
  </si>
  <si>
    <t>PHV (Late/No Show/Driver/etc)</t>
  </si>
  <si>
    <t>Phone (Answering, Response)</t>
  </si>
  <si>
    <t xml:space="preserve">No Taxi </t>
  </si>
  <si>
    <t>Total Queries &amp; Complaints Received</t>
  </si>
  <si>
    <t xml:space="preserve">Queries </t>
  </si>
  <si>
    <t xml:space="preserve">Complaints </t>
  </si>
  <si>
    <t>Complaints Upheld out of complaints</t>
  </si>
  <si>
    <t>%  of Queries</t>
  </si>
  <si>
    <t>%  of Complaints</t>
  </si>
  <si>
    <t>% of upheld complaints out of complaints</t>
  </si>
  <si>
    <t xml:space="preserve">Late Taxi </t>
  </si>
  <si>
    <t>% of total queries &amp; complaints</t>
  </si>
  <si>
    <t xml:space="preserve">Breakdown of Total Queries &amp; Complaints </t>
  </si>
  <si>
    <t>% out of Category</t>
  </si>
  <si>
    <t>All</t>
  </si>
  <si>
    <t>Boroughs</t>
  </si>
  <si>
    <t>Late Vehicle</t>
  </si>
  <si>
    <t>Driver  (Rude/Abusive/Un-helpful/etc.)</t>
  </si>
  <si>
    <t>Fare/Run-In/Waiting Time Charge Query</t>
  </si>
  <si>
    <t>Gazetteer/IT/System Issue</t>
  </si>
  <si>
    <t>Operator Issue (Rude/Abusive/Un-helpful/etc.)</t>
  </si>
  <si>
    <t>Phone/Ringback Issue</t>
  </si>
  <si>
    <t>PHV Driver</t>
  </si>
  <si>
    <t>PHV Fare</t>
  </si>
  <si>
    <t>PHV Late/No</t>
  </si>
  <si>
    <t>PHV Operator</t>
  </si>
  <si>
    <t>PHV System</t>
  </si>
  <si>
    <t>Total Taxi</t>
  </si>
  <si>
    <t>Total PHV</t>
  </si>
  <si>
    <t>HAY</t>
  </si>
  <si>
    <t>SUMMARY 2020-21</t>
  </si>
  <si>
    <t>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</si>
</sst>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£&quot;#,##0_);[Red]\(&quot;£&quot;#,##0\)"/>
    <numFmt numFmtId="165" formatCode="_(&quot;£&quot;* #,##0_);_(&quot;£&quot;* \(#,##0\);_(&quot;£&quot;* &quot;-&quot;_);_(@_)"/>
    <numFmt numFmtId="166" formatCode="_-&quot;£&quot;* #,##0.00_-;\-&quot;£&quot;* #,##0.00_-;_-&quot;£&quot;* &quot;-&quot;_-;_-@_-"/>
    <numFmt numFmtId="167" formatCode="0.0%"/>
    <numFmt numFmtId="168" formatCode="mmm\ yy"/>
  </numFmts>
  <fonts count="16" x14ac:knownFonts="1">
    <font>
      <sz val="10"/>
      <name val="Times New Roman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5">
    <xf numFmtId="0" fontId="0" fillId="0" borderId="0" xfId="0"/>
    <xf numFmtId="0" fontId="2" fillId="0" borderId="0" xfId="0" applyFont="1"/>
    <xf numFmtId="166" fontId="2" fillId="0" borderId="0" xfId="0" applyNumberFormat="1" applyFont="1"/>
    <xf numFmtId="0" fontId="2" fillId="0" borderId="0" xfId="0" applyFont="1" applyAlignment="1">
      <alignment horizontal="center"/>
    </xf>
    <xf numFmtId="2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9" fontId="2" fillId="0" borderId="0" xfId="0" applyNumberFormat="1" applyFont="1"/>
    <xf numFmtId="166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166" fontId="2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/>
    <xf numFmtId="14" fontId="6" fillId="0" borderId="0" xfId="0" applyNumberFormat="1" applyFont="1"/>
    <xf numFmtId="0" fontId="8" fillId="0" borderId="0" xfId="0" applyFont="1" applyBorder="1"/>
    <xf numFmtId="0" fontId="7" fillId="0" borderId="0" xfId="0" applyFont="1" applyBorder="1"/>
    <xf numFmtId="168" fontId="7" fillId="2" borderId="1" xfId="0" applyNumberFormat="1" applyFont="1" applyFill="1" applyBorder="1" applyAlignment="1">
      <alignment horizontal="center"/>
    </xf>
    <xf numFmtId="10" fontId="8" fillId="0" borderId="0" xfId="0" applyNumberFormat="1" applyFont="1" applyBorder="1"/>
    <xf numFmtId="10" fontId="8" fillId="0" borderId="0" xfId="0" applyNumberFormat="1" applyFont="1" applyBorder="1" applyAlignment="1">
      <alignment horizontal="center"/>
    </xf>
    <xf numFmtId="167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7" fillId="2" borderId="9" xfId="0" applyNumberFormat="1" applyFont="1" applyFill="1" applyBorder="1" applyAlignment="1">
      <alignment horizontal="center"/>
    </xf>
    <xf numFmtId="0" fontId="7" fillId="0" borderId="13" xfId="0" applyFont="1" applyBorder="1"/>
    <xf numFmtId="0" fontId="7" fillId="0" borderId="15" xfId="0" applyFont="1" applyBorder="1"/>
    <xf numFmtId="0" fontId="7" fillId="0" borderId="19" xfId="0" applyFont="1" applyBorder="1"/>
    <xf numFmtId="0" fontId="7" fillId="0" borderId="20" xfId="0" applyFont="1" applyBorder="1"/>
    <xf numFmtId="0" fontId="7" fillId="0" borderId="18" xfId="0" applyFont="1" applyBorder="1"/>
    <xf numFmtId="0" fontId="7" fillId="0" borderId="7" xfId="0" applyFont="1" applyBorder="1"/>
    <xf numFmtId="168" fontId="7" fillId="2" borderId="4" xfId="0" applyNumberFormat="1" applyFont="1" applyFill="1" applyBorder="1" applyAlignment="1">
      <alignment horizontal="center"/>
    </xf>
    <xf numFmtId="168" fontId="7" fillId="2" borderId="6" xfId="0" applyNumberFormat="1" applyFont="1" applyFill="1" applyBorder="1" applyAlignment="1">
      <alignment horizontal="center"/>
    </xf>
    <xf numFmtId="1" fontId="7" fillId="2" borderId="11" xfId="0" applyNumberFormat="1" applyFont="1" applyFill="1" applyBorder="1" applyAlignment="1">
      <alignment horizontal="center"/>
    </xf>
    <xf numFmtId="167" fontId="7" fillId="2" borderId="16" xfId="0" applyNumberFormat="1" applyFont="1" applyFill="1" applyBorder="1" applyAlignment="1">
      <alignment horizontal="center"/>
    </xf>
    <xf numFmtId="167" fontId="7" fillId="2" borderId="0" xfId="0" applyNumberFormat="1" applyFont="1" applyFill="1" applyBorder="1" applyAlignment="1">
      <alignment horizontal="center"/>
    </xf>
    <xf numFmtId="0" fontId="7" fillId="0" borderId="22" xfId="0" applyFont="1" applyBorder="1" applyAlignment="1">
      <alignment vertical="center" wrapText="1"/>
    </xf>
    <xf numFmtId="0" fontId="12" fillId="0" borderId="28" xfId="0" applyFont="1" applyBorder="1" applyAlignment="1">
      <alignment wrapText="1"/>
    </xf>
    <xf numFmtId="0" fontId="12" fillId="0" borderId="28" xfId="0" applyFont="1" applyBorder="1"/>
    <xf numFmtId="0" fontId="11" fillId="0" borderId="23" xfId="0" applyFont="1" applyBorder="1" applyAlignment="1">
      <alignment wrapText="1"/>
    </xf>
    <xf numFmtId="0" fontId="12" fillId="0" borderId="26" xfId="0" applyFont="1" applyBorder="1" applyAlignment="1">
      <alignment wrapText="1"/>
    </xf>
    <xf numFmtId="3" fontId="8" fillId="0" borderId="10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10" fontId="7" fillId="0" borderId="22" xfId="1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10" fontId="7" fillId="0" borderId="23" xfId="1" applyNumberFormat="1" applyFont="1" applyBorder="1" applyAlignment="1">
      <alignment horizontal="center"/>
    </xf>
    <xf numFmtId="10" fontId="8" fillId="0" borderId="2" xfId="1" applyNumberFormat="1" applyFont="1" applyBorder="1" applyAlignment="1">
      <alignment horizontal="center"/>
    </xf>
    <xf numFmtId="10" fontId="8" fillId="0" borderId="3" xfId="1" applyNumberFormat="1" applyFont="1" applyBorder="1" applyAlignment="1">
      <alignment horizontal="center"/>
    </xf>
    <xf numFmtId="10" fontId="8" fillId="0" borderId="5" xfId="1" applyNumberFormat="1" applyFont="1" applyBorder="1" applyAlignment="1">
      <alignment horizontal="center"/>
    </xf>
    <xf numFmtId="10" fontId="7" fillId="0" borderId="19" xfId="1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10" fontId="0" fillId="0" borderId="21" xfId="1" applyNumberFormat="1" applyFont="1" applyBorder="1" applyAlignment="1">
      <alignment horizontal="center"/>
    </xf>
    <xf numFmtId="10" fontId="8" fillId="0" borderId="8" xfId="1" applyNumberFormat="1" applyFont="1" applyBorder="1" applyAlignment="1">
      <alignment horizontal="center"/>
    </xf>
    <xf numFmtId="10" fontId="8" fillId="0" borderId="14" xfId="1" applyNumberFormat="1" applyFont="1" applyBorder="1" applyAlignment="1">
      <alignment horizontal="center"/>
    </xf>
    <xf numFmtId="10" fontId="7" fillId="0" borderId="20" xfId="1" applyNumberFormat="1" applyFont="1" applyBorder="1" applyAlignment="1">
      <alignment horizontal="center"/>
    </xf>
    <xf numFmtId="10" fontId="7" fillId="0" borderId="24" xfId="1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7" fillId="0" borderId="3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 wrapText="1"/>
    </xf>
    <xf numFmtId="0" fontId="12" fillId="0" borderId="9" xfId="0" applyFont="1" applyFill="1" applyBorder="1" applyAlignment="1">
      <alignment horizontal="center" wrapText="1"/>
    </xf>
    <xf numFmtId="0" fontId="12" fillId="0" borderId="31" xfId="0" applyFont="1" applyFill="1" applyBorder="1" applyAlignment="1">
      <alignment horizontal="center" wrapText="1"/>
    </xf>
    <xf numFmtId="3" fontId="7" fillId="0" borderId="28" xfId="0" applyNumberFormat="1" applyFont="1" applyFill="1" applyBorder="1" applyAlignment="1">
      <alignment horizontal="center"/>
    </xf>
    <xf numFmtId="10" fontId="7" fillId="0" borderId="28" xfId="1" applyNumberFormat="1" applyFont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center" wrapText="1"/>
    </xf>
    <xf numFmtId="3" fontId="7" fillId="0" borderId="23" xfId="0" applyNumberFormat="1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 wrapText="1"/>
    </xf>
    <xf numFmtId="0" fontId="12" fillId="0" borderId="33" xfId="0" applyFont="1" applyFill="1" applyBorder="1" applyAlignment="1">
      <alignment horizontal="center" wrapText="1"/>
    </xf>
    <xf numFmtId="0" fontId="12" fillId="0" borderId="37" xfId="0" applyFont="1" applyFill="1" applyBorder="1" applyAlignment="1">
      <alignment horizontal="center" wrapText="1"/>
    </xf>
    <xf numFmtId="3" fontId="7" fillId="0" borderId="26" xfId="0" applyNumberFormat="1" applyFont="1" applyFill="1" applyBorder="1" applyAlignment="1">
      <alignment horizontal="center"/>
    </xf>
    <xf numFmtId="10" fontId="7" fillId="0" borderId="26" xfId="1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0" fontId="7" fillId="0" borderId="0" xfId="1" applyNumberFormat="1" applyFont="1" applyBorder="1" applyAlignment="1">
      <alignment horizontal="center"/>
    </xf>
    <xf numFmtId="0" fontId="0" fillId="0" borderId="0" xfId="0" applyBorder="1" applyAlignment="1">
      <alignment textRotation="90"/>
    </xf>
    <xf numFmtId="0" fontId="12" fillId="0" borderId="0" xfId="0" applyFont="1" applyBorder="1" applyAlignment="1">
      <alignment wrapText="1"/>
    </xf>
    <xf numFmtId="0" fontId="12" fillId="0" borderId="0" xfId="0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168" fontId="14" fillId="2" borderId="4" xfId="0" applyNumberFormat="1" applyFont="1" applyFill="1" applyBorder="1" applyAlignment="1">
      <alignment horizontal="center"/>
    </xf>
    <xf numFmtId="168" fontId="14" fillId="2" borderId="1" xfId="0" applyNumberFormat="1" applyFont="1" applyFill="1" applyBorder="1" applyAlignment="1">
      <alignment horizontal="center"/>
    </xf>
    <xf numFmtId="168" fontId="14" fillId="2" borderId="6" xfId="0" applyNumberFormat="1" applyFont="1" applyFill="1" applyBorder="1" applyAlignment="1">
      <alignment horizontal="center"/>
    </xf>
    <xf numFmtId="167" fontId="14" fillId="2" borderId="16" xfId="0" applyNumberFormat="1" applyFont="1" applyFill="1" applyBorder="1" applyAlignment="1">
      <alignment horizontal="center"/>
    </xf>
    <xf numFmtId="3" fontId="15" fillId="0" borderId="10" xfId="0" applyNumberFormat="1" applyFont="1" applyBorder="1" applyAlignment="1">
      <alignment horizontal="center"/>
    </xf>
    <xf numFmtId="3" fontId="14" fillId="0" borderId="16" xfId="0" applyNumberFormat="1" applyFont="1" applyBorder="1" applyAlignment="1">
      <alignment horizontal="center"/>
    </xf>
    <xf numFmtId="10" fontId="14" fillId="0" borderId="22" xfId="1" applyNumberFormat="1" applyFont="1" applyBorder="1" applyAlignment="1">
      <alignment horizontal="center"/>
    </xf>
    <xf numFmtId="10" fontId="14" fillId="0" borderId="23" xfId="1" applyNumberFormat="1" applyFont="1" applyBorder="1" applyAlignment="1">
      <alignment horizontal="center"/>
    </xf>
    <xf numFmtId="0" fontId="14" fillId="0" borderId="13" xfId="0" applyFont="1" applyBorder="1"/>
    <xf numFmtId="0" fontId="14" fillId="0" borderId="19" xfId="0" applyFont="1" applyBorder="1"/>
    <xf numFmtId="10" fontId="15" fillId="0" borderId="2" xfId="1" applyNumberFormat="1" applyFont="1" applyBorder="1" applyAlignment="1">
      <alignment horizontal="center"/>
    </xf>
    <xf numFmtId="10" fontId="14" fillId="0" borderId="19" xfId="1" applyNumberFormat="1" applyFont="1" applyBorder="1" applyAlignment="1">
      <alignment horizontal="center"/>
    </xf>
    <xf numFmtId="3" fontId="15" fillId="0" borderId="2" xfId="0" applyNumberFormat="1" applyFont="1" applyBorder="1" applyAlignment="1">
      <alignment horizontal="center"/>
    </xf>
    <xf numFmtId="3" fontId="14" fillId="0" borderId="19" xfId="0" applyNumberFormat="1" applyFont="1" applyBorder="1" applyAlignment="1">
      <alignment horizontal="center"/>
    </xf>
    <xf numFmtId="0" fontId="14" fillId="0" borderId="15" xfId="0" applyFont="1" applyBorder="1"/>
    <xf numFmtId="0" fontId="14" fillId="0" borderId="20" xfId="0" applyFont="1" applyBorder="1"/>
    <xf numFmtId="10" fontId="14" fillId="0" borderId="24" xfId="1" applyNumberFormat="1" applyFont="1" applyBorder="1" applyAlignment="1">
      <alignment horizontal="center"/>
    </xf>
    <xf numFmtId="0" fontId="14" fillId="0" borderId="18" xfId="0" applyFont="1" applyBorder="1"/>
    <xf numFmtId="3" fontId="15" fillId="0" borderId="4" xfId="0" applyNumberFormat="1" applyFont="1" applyBorder="1" applyAlignment="1">
      <alignment horizontal="center"/>
    </xf>
    <xf numFmtId="3" fontId="15" fillId="0" borderId="1" xfId="0" applyNumberFormat="1" applyFont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0" fontId="14" fillId="0" borderId="7" xfId="0" applyFont="1" applyBorder="1"/>
    <xf numFmtId="3" fontId="15" fillId="0" borderId="3" xfId="0" applyNumberFormat="1" applyFont="1" applyBorder="1" applyAlignment="1">
      <alignment horizontal="center"/>
    </xf>
    <xf numFmtId="3" fontId="15" fillId="0" borderId="5" xfId="0" applyNumberFormat="1" applyFont="1" applyBorder="1" applyAlignment="1">
      <alignment horizontal="center"/>
    </xf>
    <xf numFmtId="0" fontId="14" fillId="0" borderId="22" xfId="0" applyFont="1" applyBorder="1" applyAlignment="1">
      <alignment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3" fontId="14" fillId="0" borderId="22" xfId="0" applyNumberFormat="1" applyFont="1" applyFill="1" applyBorder="1" applyAlignment="1">
      <alignment horizontal="center"/>
    </xf>
    <xf numFmtId="0" fontId="15" fillId="0" borderId="28" xfId="0" applyFont="1" applyBorder="1" applyAlignment="1">
      <alignment wrapText="1"/>
    </xf>
    <xf numFmtId="0" fontId="15" fillId="0" borderId="32" xfId="0" applyFont="1" applyFill="1" applyBorder="1" applyAlignment="1">
      <alignment horizontal="center" wrapText="1"/>
    </xf>
    <xf numFmtId="0" fontId="15" fillId="0" borderId="9" xfId="0" applyFont="1" applyFill="1" applyBorder="1" applyAlignment="1">
      <alignment horizontal="center" wrapText="1"/>
    </xf>
    <xf numFmtId="0" fontId="15" fillId="0" borderId="31" xfId="0" applyFont="1" applyFill="1" applyBorder="1" applyAlignment="1">
      <alignment horizontal="center" wrapText="1"/>
    </xf>
    <xf numFmtId="3" fontId="14" fillId="0" borderId="28" xfId="0" applyNumberFormat="1" applyFont="1" applyFill="1" applyBorder="1" applyAlignment="1">
      <alignment horizontal="center"/>
    </xf>
    <xf numFmtId="10" fontId="14" fillId="0" borderId="28" xfId="1" applyNumberFormat="1" applyFont="1" applyBorder="1" applyAlignment="1">
      <alignment horizontal="center"/>
    </xf>
    <xf numFmtId="0" fontId="15" fillId="0" borderId="28" xfId="0" applyFont="1" applyBorder="1"/>
    <xf numFmtId="0" fontId="15" fillId="0" borderId="32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14" fillId="0" borderId="23" xfId="0" applyFont="1" applyBorder="1" applyAlignment="1">
      <alignment wrapText="1"/>
    </xf>
    <xf numFmtId="0" fontId="14" fillId="0" borderId="27" xfId="0" applyFont="1" applyFill="1" applyBorder="1" applyAlignment="1">
      <alignment horizontal="center" wrapText="1"/>
    </xf>
    <xf numFmtId="0" fontId="14" fillId="0" borderId="3" xfId="0" applyFont="1" applyFill="1" applyBorder="1" applyAlignment="1">
      <alignment horizontal="center" wrapText="1"/>
    </xf>
    <xf numFmtId="0" fontId="14" fillId="0" borderId="7" xfId="0" applyFont="1" applyFill="1" applyBorder="1" applyAlignment="1">
      <alignment horizontal="center" wrapText="1"/>
    </xf>
    <xf numFmtId="3" fontId="14" fillId="0" borderId="23" xfId="0" applyNumberFormat="1" applyFont="1" applyFill="1" applyBorder="1" applyAlignment="1">
      <alignment horizontal="center"/>
    </xf>
    <xf numFmtId="1" fontId="15" fillId="0" borderId="32" xfId="0" applyNumberFormat="1" applyFont="1" applyFill="1" applyBorder="1" applyAlignment="1">
      <alignment horizontal="center" wrapText="1"/>
    </xf>
    <xf numFmtId="1" fontId="15" fillId="0" borderId="9" xfId="0" applyNumberFormat="1" applyFont="1" applyFill="1" applyBorder="1" applyAlignment="1">
      <alignment horizontal="center" wrapText="1"/>
    </xf>
    <xf numFmtId="0" fontId="15" fillId="0" borderId="26" xfId="0" applyFont="1" applyBorder="1" applyAlignment="1">
      <alignment wrapText="1"/>
    </xf>
    <xf numFmtId="1" fontId="15" fillId="0" borderId="36" xfId="0" applyNumberFormat="1" applyFont="1" applyFill="1" applyBorder="1" applyAlignment="1">
      <alignment horizontal="center" wrapText="1"/>
    </xf>
    <xf numFmtId="1" fontId="15" fillId="0" borderId="33" xfId="0" applyNumberFormat="1" applyFont="1" applyFill="1" applyBorder="1" applyAlignment="1">
      <alignment horizontal="center" wrapText="1"/>
    </xf>
    <xf numFmtId="0" fontId="15" fillId="0" borderId="33" xfId="0" applyFont="1" applyFill="1" applyBorder="1" applyAlignment="1">
      <alignment horizontal="center" wrapText="1"/>
    </xf>
    <xf numFmtId="0" fontId="15" fillId="0" borderId="37" xfId="0" applyFont="1" applyFill="1" applyBorder="1" applyAlignment="1">
      <alignment horizontal="center" wrapText="1"/>
    </xf>
    <xf numFmtId="3" fontId="14" fillId="0" borderId="26" xfId="0" applyNumberFormat="1" applyFont="1" applyFill="1" applyBorder="1" applyAlignment="1">
      <alignment horizontal="center"/>
    </xf>
    <xf numFmtId="10" fontId="14" fillId="0" borderId="26" xfId="1" applyNumberFormat="1" applyFont="1" applyBorder="1" applyAlignment="1">
      <alignment horizontal="center"/>
    </xf>
    <xf numFmtId="10" fontId="6" fillId="0" borderId="21" xfId="1" applyNumberFormat="1" applyFont="1" applyBorder="1" applyAlignment="1">
      <alignment horizontal="center"/>
    </xf>
    <xf numFmtId="0" fontId="7" fillId="0" borderId="29" xfId="0" applyFont="1" applyBorder="1" applyAlignment="1">
      <alignment horizontal="center" vertical="center" textRotation="90" wrapText="1"/>
    </xf>
    <xf numFmtId="0" fontId="7" fillId="0" borderId="30" xfId="0" applyFont="1" applyBorder="1" applyAlignment="1">
      <alignment horizontal="center" vertical="center" textRotation="90" wrapText="1"/>
    </xf>
    <xf numFmtId="0" fontId="0" fillId="0" borderId="30" xfId="0" applyBorder="1" applyAlignment="1">
      <alignment textRotation="90"/>
    </xf>
    <xf numFmtId="0" fontId="0" fillId="0" borderId="34" xfId="0" applyBorder="1" applyAlignment="1">
      <alignment textRotation="90"/>
    </xf>
    <xf numFmtId="0" fontId="14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14" fillId="0" borderId="29" xfId="0" applyFont="1" applyBorder="1" applyAlignment="1">
      <alignment horizontal="center" vertical="center" textRotation="90" wrapText="1"/>
    </xf>
    <xf numFmtId="0" fontId="14" fillId="0" borderId="30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textRotation="90"/>
    </xf>
    <xf numFmtId="0" fontId="2" fillId="0" borderId="34" xfId="0" applyFont="1" applyBorder="1" applyAlignment="1">
      <alignment textRotation="90"/>
    </xf>
    <xf numFmtId="0" fontId="7" fillId="0" borderId="13" xfId="0" applyFont="1" applyBorder="1" applyAlignment="1"/>
    <xf numFmtId="0" fontId="7" fillId="0" borderId="19" xfId="0" applyFont="1" applyBorder="1" applyAlignment="1"/>
    <xf numFmtId="0" fontId="7" fillId="0" borderId="13" xfId="0" applyFont="1" applyFill="1" applyBorder="1" applyAlignment="1"/>
    <xf numFmtId="0" fontId="10" fillId="2" borderId="3" xfId="0" applyFont="1" applyFill="1" applyBorder="1" applyAlignment="1"/>
    <xf numFmtId="0" fontId="0" fillId="0" borderId="7" xfId="0" applyBorder="1" applyAlignment="1"/>
    <xf numFmtId="10" fontId="7" fillId="2" borderId="25" xfId="0" applyNumberFormat="1" applyFont="1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10" fillId="2" borderId="8" xfId="0" applyFont="1" applyFill="1" applyBorder="1" applyAlignment="1"/>
    <xf numFmtId="0" fontId="0" fillId="0" borderId="17" xfId="0" applyBorder="1" applyAlignment="1"/>
    <xf numFmtId="0" fontId="7" fillId="0" borderId="4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10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13" fillId="2" borderId="3" xfId="0" applyFont="1" applyFill="1" applyBorder="1" applyAlignment="1"/>
    <xf numFmtId="0" fontId="2" fillId="0" borderId="7" xfId="0" applyFont="1" applyBorder="1" applyAlignment="1"/>
    <xf numFmtId="0" fontId="9" fillId="3" borderId="0" xfId="0" applyFont="1" applyFill="1" applyBorder="1" applyAlignment="1">
      <alignment horizontal="center"/>
    </xf>
    <xf numFmtId="10" fontId="14" fillId="2" borderId="25" xfId="0" applyNumberFormat="1" applyFont="1" applyFill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13" fillId="2" borderId="8" xfId="0" applyFont="1" applyFill="1" applyBorder="1" applyAlignment="1"/>
    <xf numFmtId="0" fontId="2" fillId="0" borderId="17" xfId="0" applyFont="1" applyBorder="1" applyAlignment="1"/>
    <xf numFmtId="0" fontId="14" fillId="0" borderId="13" xfId="0" applyFont="1" applyBorder="1" applyAlignment="1"/>
    <xf numFmtId="0" fontId="14" fillId="0" borderId="19" xfId="0" applyFont="1" applyBorder="1" applyAlignment="1"/>
    <xf numFmtId="0" fontId="14" fillId="0" borderId="13" xfId="0" applyFont="1" applyFill="1" applyBorder="1" applyAlignment="1"/>
    <xf numFmtId="0" fontId="14" fillId="0" borderId="4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7" xfId="0" applyFont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Apr%2020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Jan%2021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Feb%2021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Mar%202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May%2020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Jun%2020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Jul%2020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Aug%2020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Sep%2020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Oct%2020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Nov%2020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Dec%20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</row>
      </sheetData>
      <sheetData sheetId="1">
        <row r="2">
          <cell r="A2" t="str">
            <v>BND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  <cell r="C4" t="str">
            <v>Total Queries &amp; Complaints Received</v>
          </cell>
          <cell r="D4" t="str">
            <v xml:space="preserve">Queries </v>
          </cell>
          <cell r="E4" t="str">
            <v xml:space="preserve">Complaints </v>
          </cell>
          <cell r="F4" t="str">
            <v>Complaints Upheld out of complaints</v>
          </cell>
          <cell r="G4" t="str">
            <v xml:space="preserve">Breakdown of Total Queries &amp; Complaints </v>
          </cell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 t="str">
            <v>Breakdown of Complaints Upheld</v>
          </cell>
          <cell r="V4"/>
          <cell r="W4"/>
          <cell r="X4"/>
          <cell r="Y4"/>
          <cell r="Z4"/>
          <cell r="AA4"/>
          <cell r="AB4"/>
          <cell r="AC4"/>
          <cell r="AD4"/>
          <cell r="AE4"/>
          <cell r="AF4"/>
          <cell r="AG4"/>
          <cell r="AH4"/>
          <cell r="AI4"/>
          <cell r="AJ4"/>
        </row>
        <row r="5">
          <cell r="A5" t="str">
            <v>Borough</v>
          </cell>
          <cell r="B5"/>
          <cell r="C5"/>
          <cell r="D5"/>
          <cell r="E5"/>
          <cell r="F5"/>
          <cell r="G5" t="str">
            <v>Booking Error</v>
          </cell>
          <cell r="H5" t="str">
            <v>Driver  (Rude/Abusive/Un-helpful/etc.)</v>
          </cell>
          <cell r="I5" t="str">
            <v>Early Vehicle</v>
          </cell>
          <cell r="J5" t="str">
            <v>Fare Query</v>
          </cell>
          <cell r="K5" t="str">
            <v xml:space="preserve">Late Taxi </v>
          </cell>
          <cell r="L5" t="str">
            <v xml:space="preserve">No Taxi </v>
          </cell>
          <cell r="M5" t="str">
            <v>Operator Issue</v>
          </cell>
          <cell r="N5" t="str">
            <v>Phone (Answering, Response)</v>
          </cell>
          <cell r="O5" t="str">
            <v>PHV (Late/No Show/Driver/etc)</v>
          </cell>
          <cell r="P5" t="str">
            <v>Ringback</v>
          </cell>
          <cell r="Q5" t="str">
            <v>Run-In too high</v>
          </cell>
          <cell r="R5" t="str">
            <v>System/Gazetteer Problem</v>
          </cell>
          <cell r="S5" t="str">
            <v>Taxi arrived at incorrect Location</v>
          </cell>
          <cell r="T5" t="str">
            <v>Waiting time charge query</v>
          </cell>
          <cell r="U5" t="str">
            <v>Total Taxi</v>
          </cell>
          <cell r="V5" t="str">
            <v>Booking Error</v>
          </cell>
          <cell r="W5" t="str">
            <v>Driver  (Rude/Abusive/Un-helpful/etc.)</v>
          </cell>
          <cell r="X5" t="str">
            <v>Early Vehicle</v>
          </cell>
          <cell r="Y5" t="str">
            <v>Fare/Run-In/Waiting Time Charge Query</v>
          </cell>
          <cell r="Z5" t="str">
            <v>Gazetteer/IT/System Issue</v>
          </cell>
          <cell r="AA5" t="str">
            <v>Late Vehicle</v>
          </cell>
          <cell r="AB5" t="str">
            <v>No Vehicle</v>
          </cell>
          <cell r="AC5" t="str">
            <v>Operator Issue (Rude/Abusive/Un-helpful/etc.)</v>
          </cell>
          <cell r="AD5" t="str">
            <v>Phone/Ringback Issue</v>
          </cell>
          <cell r="AE5" t="str">
            <v>Total PHV</v>
          </cell>
          <cell r="AF5" t="str">
            <v>PHV Driver</v>
          </cell>
          <cell r="AG5" t="str">
            <v>PHV Fare</v>
          </cell>
          <cell r="AH5" t="str">
            <v>PHV Late/No</v>
          </cell>
          <cell r="AI5" t="str">
            <v>PHV Operator</v>
          </cell>
          <cell r="AJ5" t="str">
            <v>PHV System</v>
          </cell>
        </row>
        <row r="6">
          <cell r="A6" t="str">
            <v>BAR</v>
          </cell>
          <cell r="B6">
            <v>231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A7" t="str">
            <v>BEX</v>
          </cell>
          <cell r="B7">
            <v>66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A8" t="str">
            <v>BND</v>
          </cell>
          <cell r="B8">
            <v>167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A9" t="str">
            <v>BRE</v>
          </cell>
          <cell r="B9">
            <v>303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A10" t="str">
            <v>BRO</v>
          </cell>
          <cell r="B10">
            <v>129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A11" t="str">
            <v>CAM</v>
          </cell>
          <cell r="B11">
            <v>667</v>
          </cell>
          <cell r="C11">
            <v>1</v>
          </cell>
          <cell r="D11">
            <v>1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A12" t="str">
            <v>CRO</v>
          </cell>
          <cell r="B12">
            <v>302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A13" t="str">
            <v>EAL</v>
          </cell>
          <cell r="B13">
            <v>247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A14" t="str">
            <v>ENF</v>
          </cell>
          <cell r="B14">
            <v>149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A15" t="str">
            <v>GRE</v>
          </cell>
          <cell r="B15">
            <v>327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A16" t="str">
            <v>HAC</v>
          </cell>
          <cell r="B16">
            <v>686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A17" t="str">
            <v>HAM</v>
          </cell>
          <cell r="B17">
            <v>302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A18" t="str">
            <v>HAR</v>
          </cell>
          <cell r="B18">
            <v>143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A19" t="str">
            <v>HAV</v>
          </cell>
          <cell r="B19">
            <v>315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</row>
        <row r="20">
          <cell r="A20" t="str">
            <v>HAY</v>
          </cell>
          <cell r="B20">
            <v>592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21" t="str">
            <v>HIL</v>
          </cell>
          <cell r="B21">
            <v>161</v>
          </cell>
          <cell r="C21">
            <v>1</v>
          </cell>
          <cell r="D21">
            <v>0</v>
          </cell>
          <cell r="E21">
            <v>1</v>
          </cell>
          <cell r="F21">
            <v>0</v>
          </cell>
          <cell r="G21">
            <v>0</v>
          </cell>
          <cell r="H21">
            <v>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A22" t="str">
            <v>HOU</v>
          </cell>
          <cell r="B22">
            <v>338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A23" t="str">
            <v>ISL</v>
          </cell>
          <cell r="B23">
            <v>464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</row>
        <row r="24">
          <cell r="A24" t="str">
            <v>KEN</v>
          </cell>
          <cell r="B24">
            <v>433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A25" t="str">
            <v>KIN</v>
          </cell>
          <cell r="B25">
            <v>310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</row>
        <row r="26">
          <cell r="A26" t="str">
            <v>LAM</v>
          </cell>
          <cell r="B26">
            <v>304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A27" t="str">
            <v>LEW</v>
          </cell>
          <cell r="B27">
            <v>573</v>
          </cell>
          <cell r="C27">
            <v>1</v>
          </cell>
          <cell r="D27">
            <v>1</v>
          </cell>
          <cell r="E27">
            <v>0</v>
          </cell>
          <cell r="F27">
            <v>1</v>
          </cell>
          <cell r="G27">
            <v>0</v>
          </cell>
          <cell r="H27">
            <v>0</v>
          </cell>
          <cell r="I27">
            <v>0</v>
          </cell>
          <cell r="J27">
            <v>1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0</v>
          </cell>
          <cell r="W27">
            <v>1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A28" t="str">
            <v>LON</v>
          </cell>
          <cell r="B28">
            <v>9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A29" t="str">
            <v>MER</v>
          </cell>
          <cell r="B29">
            <v>378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A30" t="str">
            <v>NEW</v>
          </cell>
          <cell r="B30">
            <v>783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A31" t="str">
            <v>RED</v>
          </cell>
          <cell r="B31">
            <v>295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A32" t="str">
            <v>RIC</v>
          </cell>
          <cell r="B32">
            <v>302</v>
          </cell>
          <cell r="C32">
            <v>1</v>
          </cell>
          <cell r="D32">
            <v>0</v>
          </cell>
          <cell r="E32">
            <v>1</v>
          </cell>
          <cell r="F32">
            <v>1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1</v>
          </cell>
          <cell r="AF32">
            <v>1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</row>
        <row r="33">
          <cell r="A33" t="str">
            <v>SOU</v>
          </cell>
          <cell r="B33">
            <v>405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A34" t="str">
            <v>SUT</v>
          </cell>
          <cell r="B34">
            <v>251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</row>
        <row r="35">
          <cell r="A35" t="str">
            <v>TOW</v>
          </cell>
          <cell r="B35">
            <v>313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</row>
        <row r="36">
          <cell r="A36" t="str">
            <v>WAL</v>
          </cell>
          <cell r="B36">
            <v>229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A37" t="str">
            <v>WAN</v>
          </cell>
          <cell r="B37">
            <v>245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WES</v>
          </cell>
          <cell r="B38">
            <v>451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A39" t="str">
            <v>TOTAL</v>
          </cell>
          <cell r="B39">
            <v>10870</v>
          </cell>
          <cell r="C39">
            <v>4</v>
          </cell>
          <cell r="D39">
            <v>2</v>
          </cell>
          <cell r="E39">
            <v>2</v>
          </cell>
          <cell r="F39">
            <v>2</v>
          </cell>
          <cell r="G39">
            <v>0</v>
          </cell>
          <cell r="H39">
            <v>1</v>
          </cell>
          <cell r="I39">
            <v>0</v>
          </cell>
          <cell r="J39">
            <v>2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1</v>
          </cell>
          <cell r="V39">
            <v>0</v>
          </cell>
          <cell r="W39">
            <v>1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1</v>
          </cell>
          <cell r="AF39">
            <v>1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</sheetData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PT"/>
      <sheetName val="LMU Other"/>
      <sheetName val="Wheelchair Trips"/>
      <sheetName val="Taxicard Members"/>
      <sheetName val="Soilage Charge"/>
      <sheetName val="Complaints"/>
      <sheetName val="Festives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B4" t="str">
            <v>Chargeable Trips</v>
          </cell>
          <cell r="C4" t="str">
            <v>Total Queries &amp; Complaints Received</v>
          </cell>
          <cell r="D4" t="str">
            <v xml:space="preserve">Queries </v>
          </cell>
          <cell r="E4" t="str">
            <v xml:space="preserve">Complaints </v>
          </cell>
          <cell r="F4" t="str">
            <v>Complaints Upheld out of complaints</v>
          </cell>
          <cell r="G4" t="str">
            <v xml:space="preserve">Breakdown of Total Queries &amp; Complaints </v>
          </cell>
          <cell r="U4" t="str">
            <v>Breakdown of Complaints Upheld</v>
          </cell>
        </row>
        <row r="5">
          <cell r="A5" t="str">
            <v>Borough</v>
          </cell>
          <cell r="G5" t="str">
            <v>Booking Error</v>
          </cell>
          <cell r="H5" t="str">
            <v>Driver  (Rude/Abusive/Un-helpful/etc.)</v>
          </cell>
          <cell r="I5" t="str">
            <v>Early Vehicle</v>
          </cell>
          <cell r="J5" t="str">
            <v>Fare Query</v>
          </cell>
          <cell r="K5" t="str">
            <v xml:space="preserve">Late Taxi </v>
          </cell>
          <cell r="L5" t="str">
            <v xml:space="preserve">No Taxi </v>
          </cell>
          <cell r="M5" t="str">
            <v>Operator Issue</v>
          </cell>
          <cell r="N5" t="str">
            <v>Phone (Answering, Response)</v>
          </cell>
          <cell r="O5" t="str">
            <v>PHV (Late/No Show/Driver/etc)</v>
          </cell>
          <cell r="P5" t="str">
            <v>Ringback</v>
          </cell>
          <cell r="Q5" t="str">
            <v>Run-In too high</v>
          </cell>
          <cell r="R5" t="str">
            <v>System/Gazetteer Problem</v>
          </cell>
          <cell r="S5" t="str">
            <v>Taxi arrived at incorrect Location</v>
          </cell>
          <cell r="T5" t="str">
            <v>Waiting time charge query</v>
          </cell>
          <cell r="U5" t="str">
            <v>Total Taxi</v>
          </cell>
          <cell r="V5" t="str">
            <v>Booking Error</v>
          </cell>
          <cell r="W5" t="str">
            <v>Driver  (Rude/Abusive/Un-helpful/etc.)</v>
          </cell>
          <cell r="X5" t="str">
            <v>Early Vehicle</v>
          </cell>
          <cell r="Y5" t="str">
            <v>Fare/Run-In/Waiting Time Charge Query</v>
          </cell>
          <cell r="Z5" t="str">
            <v>Gazetteer/IT/System Issue</v>
          </cell>
          <cell r="AA5" t="str">
            <v>Late Vehicle</v>
          </cell>
          <cell r="AB5" t="str">
            <v>No Vehicle</v>
          </cell>
          <cell r="AC5" t="str">
            <v>Operator Issue (Rude/Abusive/Un-helpful/etc.)</v>
          </cell>
          <cell r="AD5" t="str">
            <v>Phone/Ringback Issue</v>
          </cell>
          <cell r="AE5" t="str">
            <v>Total PHV</v>
          </cell>
          <cell r="AF5" t="str">
            <v>PHV Driver</v>
          </cell>
          <cell r="AG5" t="str">
            <v>PHV Fare</v>
          </cell>
          <cell r="AH5" t="str">
            <v>PHV Late/No</v>
          </cell>
          <cell r="AI5" t="str">
            <v>PHV Operator</v>
          </cell>
          <cell r="AJ5" t="str">
            <v>PHV System</v>
          </cell>
        </row>
        <row r="6">
          <cell r="A6" t="str">
            <v>BAR</v>
          </cell>
          <cell r="B6">
            <v>606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A7" t="str">
            <v>BEX</v>
          </cell>
          <cell r="B7">
            <v>224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A8" t="str">
            <v>BND</v>
          </cell>
          <cell r="B8">
            <v>450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A9" t="str">
            <v>BRE</v>
          </cell>
          <cell r="B9">
            <v>1174</v>
          </cell>
          <cell r="C9">
            <v>3</v>
          </cell>
          <cell r="D9">
            <v>1</v>
          </cell>
          <cell r="E9">
            <v>2</v>
          </cell>
          <cell r="F9">
            <v>1</v>
          </cell>
          <cell r="G9">
            <v>0</v>
          </cell>
          <cell r="H9">
            <v>1</v>
          </cell>
          <cell r="I9">
            <v>0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1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1</v>
          </cell>
          <cell r="AF9">
            <v>0</v>
          </cell>
          <cell r="AG9">
            <v>0</v>
          </cell>
          <cell r="AH9">
            <v>0</v>
          </cell>
          <cell r="AI9">
            <v>1</v>
          </cell>
          <cell r="AJ9">
            <v>0</v>
          </cell>
        </row>
        <row r="10">
          <cell r="A10" t="str">
            <v>BRO</v>
          </cell>
          <cell r="B10">
            <v>413</v>
          </cell>
          <cell r="C10">
            <v>1</v>
          </cell>
          <cell r="D10">
            <v>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A11" t="str">
            <v>CAM</v>
          </cell>
          <cell r="B11">
            <v>1854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A12" t="str">
            <v>CRO</v>
          </cell>
          <cell r="B12">
            <v>819</v>
          </cell>
          <cell r="C12">
            <v>1</v>
          </cell>
          <cell r="D12">
            <v>0</v>
          </cell>
          <cell r="E12">
            <v>1</v>
          </cell>
          <cell r="F12">
            <v>0</v>
          </cell>
          <cell r="G12">
            <v>0</v>
          </cell>
          <cell r="H12">
            <v>1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A13" t="str">
            <v>EAL</v>
          </cell>
          <cell r="B13">
            <v>707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A14" t="str">
            <v>ENF</v>
          </cell>
          <cell r="B14">
            <v>533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A15" t="str">
            <v>GRE</v>
          </cell>
          <cell r="B15">
            <v>1136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A16" t="str">
            <v>HAC</v>
          </cell>
          <cell r="B16">
            <v>1790</v>
          </cell>
          <cell r="C16">
            <v>2</v>
          </cell>
          <cell r="D16">
            <v>0</v>
          </cell>
          <cell r="E16">
            <v>2</v>
          </cell>
          <cell r="F16">
            <v>2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</v>
          </cell>
          <cell r="M16">
            <v>0</v>
          </cell>
          <cell r="N16">
            <v>0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1</v>
          </cell>
          <cell r="AC16">
            <v>0</v>
          </cell>
          <cell r="AD16">
            <v>0</v>
          </cell>
          <cell r="AE16">
            <v>1</v>
          </cell>
          <cell r="AF16">
            <v>1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A17" t="str">
            <v>HAM</v>
          </cell>
          <cell r="B17">
            <v>1096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A18" t="str">
            <v>HAR</v>
          </cell>
          <cell r="B18">
            <v>534</v>
          </cell>
          <cell r="C18">
            <v>0</v>
          </cell>
          <cell r="D18">
            <v>-1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A19" t="str">
            <v>HAV</v>
          </cell>
          <cell r="B19">
            <v>1008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</row>
        <row r="20">
          <cell r="A20" t="str">
            <v>HAY</v>
          </cell>
          <cell r="B20">
            <v>1652</v>
          </cell>
          <cell r="C20">
            <v>2</v>
          </cell>
          <cell r="D20">
            <v>1</v>
          </cell>
          <cell r="E20">
            <v>1</v>
          </cell>
          <cell r="F20">
            <v>2</v>
          </cell>
          <cell r="G20">
            <v>1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1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2</v>
          </cell>
          <cell r="V20">
            <v>1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1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21" t="str">
            <v>HIL</v>
          </cell>
          <cell r="B21">
            <v>293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A22" t="str">
            <v>HOU</v>
          </cell>
          <cell r="B22">
            <v>598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A23" t="str">
            <v>ISL</v>
          </cell>
          <cell r="B23">
            <v>1504</v>
          </cell>
          <cell r="C23">
            <v>2</v>
          </cell>
          <cell r="D23">
            <v>2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2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</row>
        <row r="24">
          <cell r="A24" t="str">
            <v>KEN</v>
          </cell>
          <cell r="B24">
            <v>1432</v>
          </cell>
          <cell r="C24">
            <v>3</v>
          </cell>
          <cell r="D24">
            <v>1</v>
          </cell>
          <cell r="E24">
            <v>2</v>
          </cell>
          <cell r="F24">
            <v>2</v>
          </cell>
          <cell r="G24">
            <v>0</v>
          </cell>
          <cell r="H24">
            <v>2</v>
          </cell>
          <cell r="I24">
            <v>0</v>
          </cell>
          <cell r="J24">
            <v>1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2</v>
          </cell>
          <cell r="V24">
            <v>0</v>
          </cell>
          <cell r="W24">
            <v>0</v>
          </cell>
          <cell r="X24">
            <v>0</v>
          </cell>
          <cell r="Y24">
            <v>1</v>
          </cell>
          <cell r="Z24">
            <v>1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A25" t="str">
            <v>KIN</v>
          </cell>
          <cell r="B25">
            <v>861</v>
          </cell>
          <cell r="C25">
            <v>1</v>
          </cell>
          <cell r="D25">
            <v>0</v>
          </cell>
          <cell r="E25">
            <v>1</v>
          </cell>
          <cell r="F25">
            <v>0</v>
          </cell>
          <cell r="G25">
            <v>0</v>
          </cell>
          <cell r="H25">
            <v>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</row>
        <row r="26">
          <cell r="A26" t="str">
            <v>LAM</v>
          </cell>
          <cell r="B26">
            <v>1194</v>
          </cell>
          <cell r="C26">
            <v>1</v>
          </cell>
          <cell r="D26">
            <v>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1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A27" t="str">
            <v>LEW</v>
          </cell>
          <cell r="B27">
            <v>1474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A28" t="str">
            <v>LON</v>
          </cell>
          <cell r="B28">
            <v>59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A29" t="str">
            <v>MER</v>
          </cell>
          <cell r="B29">
            <v>899</v>
          </cell>
          <cell r="C29">
            <v>1</v>
          </cell>
          <cell r="D29">
            <v>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1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</v>
          </cell>
          <cell r="V29">
            <v>0</v>
          </cell>
          <cell r="W29">
            <v>0</v>
          </cell>
          <cell r="X29">
            <v>0</v>
          </cell>
          <cell r="Y29">
            <v>1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A30" t="str">
            <v>NEW</v>
          </cell>
          <cell r="B30">
            <v>1296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2</v>
          </cell>
          <cell r="V30">
            <v>0</v>
          </cell>
          <cell r="W30">
            <v>0</v>
          </cell>
          <cell r="X30">
            <v>0</v>
          </cell>
          <cell r="Y30">
            <v>1</v>
          </cell>
          <cell r="Z30">
            <v>0</v>
          </cell>
          <cell r="AA30">
            <v>0</v>
          </cell>
          <cell r="AB30">
            <v>1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A31" t="str">
            <v>RED</v>
          </cell>
          <cell r="B31">
            <v>1416</v>
          </cell>
          <cell r="C31">
            <v>2</v>
          </cell>
          <cell r="D31">
            <v>1</v>
          </cell>
          <cell r="E31">
            <v>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</v>
          </cell>
          <cell r="K31">
            <v>0</v>
          </cell>
          <cell r="L31">
            <v>1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A32" t="str">
            <v>RIC</v>
          </cell>
          <cell r="B32">
            <v>639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</row>
        <row r="33">
          <cell r="A33" t="str">
            <v>SOU</v>
          </cell>
          <cell r="B33">
            <v>1661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A34" t="str">
            <v>SUT</v>
          </cell>
          <cell r="B34">
            <v>611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</row>
        <row r="35">
          <cell r="A35" t="str">
            <v>TOW</v>
          </cell>
          <cell r="B35">
            <v>1525</v>
          </cell>
          <cell r="C35">
            <v>2</v>
          </cell>
          <cell r="D35">
            <v>2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2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2</v>
          </cell>
          <cell r="V35">
            <v>0</v>
          </cell>
          <cell r="W35">
            <v>0</v>
          </cell>
          <cell r="X35">
            <v>0</v>
          </cell>
          <cell r="Y35">
            <v>1</v>
          </cell>
          <cell r="Z35">
            <v>1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</row>
        <row r="36">
          <cell r="A36" t="str">
            <v>WAL</v>
          </cell>
          <cell r="B36">
            <v>436</v>
          </cell>
          <cell r="C36">
            <v>1</v>
          </cell>
          <cell r="D36">
            <v>0</v>
          </cell>
          <cell r="E36">
            <v>1</v>
          </cell>
          <cell r="F36">
            <v>1</v>
          </cell>
          <cell r="G36">
            <v>0</v>
          </cell>
          <cell r="H36">
            <v>1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1</v>
          </cell>
          <cell r="V36">
            <v>0</v>
          </cell>
          <cell r="W36">
            <v>1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A37" t="str">
            <v>WAN</v>
          </cell>
          <cell r="B37">
            <v>655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WES</v>
          </cell>
          <cell r="B38">
            <v>1195</v>
          </cell>
          <cell r="C38">
            <v>2</v>
          </cell>
          <cell r="D38">
            <v>1</v>
          </cell>
          <cell r="E38">
            <v>1</v>
          </cell>
          <cell r="F38">
            <v>1</v>
          </cell>
          <cell r="G38">
            <v>0</v>
          </cell>
          <cell r="H38">
            <v>0</v>
          </cell>
          <cell r="I38">
            <v>0</v>
          </cell>
          <cell r="J38">
            <v>1</v>
          </cell>
          <cell r="K38">
            <v>0</v>
          </cell>
          <cell r="L38">
            <v>1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1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1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A39" t="str">
            <v>TOTAL</v>
          </cell>
          <cell r="B39">
            <v>31744</v>
          </cell>
          <cell r="C39">
            <v>24</v>
          </cell>
          <cell r="D39">
            <v>11</v>
          </cell>
          <cell r="E39">
            <v>13</v>
          </cell>
          <cell r="F39">
            <v>9</v>
          </cell>
          <cell r="G39">
            <v>1</v>
          </cell>
          <cell r="H39">
            <v>6</v>
          </cell>
          <cell r="I39">
            <v>0</v>
          </cell>
          <cell r="J39">
            <v>9</v>
          </cell>
          <cell r="K39">
            <v>0</v>
          </cell>
          <cell r="L39">
            <v>5</v>
          </cell>
          <cell r="M39">
            <v>0</v>
          </cell>
          <cell r="N39">
            <v>0</v>
          </cell>
          <cell r="O39">
            <v>1</v>
          </cell>
          <cell r="P39">
            <v>0</v>
          </cell>
          <cell r="Q39">
            <v>0</v>
          </cell>
          <cell r="R39">
            <v>2</v>
          </cell>
          <cell r="S39">
            <v>0</v>
          </cell>
          <cell r="T39">
            <v>0</v>
          </cell>
          <cell r="U39">
            <v>12</v>
          </cell>
          <cell r="V39">
            <v>1</v>
          </cell>
          <cell r="W39">
            <v>1</v>
          </cell>
          <cell r="X39">
            <v>0</v>
          </cell>
          <cell r="Y39">
            <v>4</v>
          </cell>
          <cell r="Z39">
            <v>2</v>
          </cell>
          <cell r="AA39">
            <v>0</v>
          </cell>
          <cell r="AB39">
            <v>4</v>
          </cell>
          <cell r="AC39">
            <v>0</v>
          </cell>
          <cell r="AD39">
            <v>0</v>
          </cell>
          <cell r="AE39">
            <v>2</v>
          </cell>
          <cell r="AF39">
            <v>1</v>
          </cell>
          <cell r="AG39">
            <v>0</v>
          </cell>
          <cell r="AH39">
            <v>0</v>
          </cell>
          <cell r="AI39">
            <v>1</v>
          </cell>
          <cell r="AJ39">
            <v>0</v>
          </cell>
        </row>
      </sheetData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</row>
      </sheetData>
      <sheetData sheetId="1">
        <row r="2">
          <cell r="A2" t="str">
            <v>BND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  <cell r="C4" t="str">
            <v>Total Queries &amp; Complaints Received</v>
          </cell>
          <cell r="D4" t="str">
            <v xml:space="preserve">Queries </v>
          </cell>
          <cell r="E4" t="str">
            <v xml:space="preserve">Complaints </v>
          </cell>
          <cell r="F4" t="str">
            <v>Complaints Upheld out of complaints</v>
          </cell>
          <cell r="G4" t="str">
            <v xml:space="preserve">Breakdown of Total Queries &amp; Complaints </v>
          </cell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 t="str">
            <v>Breakdown of Complaints Upheld</v>
          </cell>
          <cell r="V4"/>
          <cell r="W4"/>
          <cell r="X4"/>
          <cell r="Y4"/>
          <cell r="Z4"/>
          <cell r="AA4"/>
          <cell r="AB4"/>
          <cell r="AC4"/>
          <cell r="AD4"/>
          <cell r="AE4"/>
          <cell r="AF4"/>
          <cell r="AG4"/>
          <cell r="AH4"/>
          <cell r="AI4"/>
          <cell r="AJ4"/>
        </row>
        <row r="5">
          <cell r="A5" t="str">
            <v>Borough</v>
          </cell>
          <cell r="B5"/>
          <cell r="C5"/>
          <cell r="D5"/>
          <cell r="E5"/>
          <cell r="F5"/>
          <cell r="G5" t="str">
            <v>Booking Error</v>
          </cell>
          <cell r="H5" t="str">
            <v>Driver  (Rude/Abusive/Un-helpful/etc.)</v>
          </cell>
          <cell r="I5" t="str">
            <v>Early Vehicle</v>
          </cell>
          <cell r="J5" t="str">
            <v>Fare Query</v>
          </cell>
          <cell r="K5" t="str">
            <v xml:space="preserve">Late Taxi </v>
          </cell>
          <cell r="L5" t="str">
            <v xml:space="preserve">No Taxi </v>
          </cell>
          <cell r="M5" t="str">
            <v>Operator Issue</v>
          </cell>
          <cell r="N5" t="str">
            <v>Phone (Answering, Response)</v>
          </cell>
          <cell r="O5" t="str">
            <v>PHV (Late/No Show/Driver/etc)</v>
          </cell>
          <cell r="P5" t="str">
            <v>Ringback</v>
          </cell>
          <cell r="Q5" t="str">
            <v>Run-In too high</v>
          </cell>
          <cell r="R5" t="str">
            <v>System/Gazetteer Problem</v>
          </cell>
          <cell r="S5" t="str">
            <v>Taxi arrived at incorrect Location</v>
          </cell>
          <cell r="T5" t="str">
            <v>Waiting time charge query</v>
          </cell>
          <cell r="U5" t="str">
            <v>Total Taxi</v>
          </cell>
          <cell r="V5" t="str">
            <v>Booking Error</v>
          </cell>
          <cell r="W5" t="str">
            <v>Driver  (Rude/Abusive/Un-helpful/etc.)</v>
          </cell>
          <cell r="X5" t="str">
            <v>Early Vehicle</v>
          </cell>
          <cell r="Y5" t="str">
            <v>Fare/Run-In/Waiting Time Charge Query</v>
          </cell>
          <cell r="Z5" t="str">
            <v>Gazetteer/IT/System Issue</v>
          </cell>
          <cell r="AA5" t="str">
            <v>Late Vehicle</v>
          </cell>
          <cell r="AB5" t="str">
            <v>No Vehicle</v>
          </cell>
          <cell r="AC5" t="str">
            <v>Operator Issue (Rude/Abusive/Un-helpful/etc.)</v>
          </cell>
          <cell r="AD5" t="str">
            <v>Phone/Ringback Issue</v>
          </cell>
          <cell r="AE5" t="str">
            <v>Total PHV</v>
          </cell>
          <cell r="AF5" t="str">
            <v>PHV Driver</v>
          </cell>
          <cell r="AG5" t="str">
            <v>PHV Fare</v>
          </cell>
          <cell r="AH5" t="str">
            <v>PHV Late/No</v>
          </cell>
          <cell r="AI5" t="str">
            <v>PHV Operator</v>
          </cell>
          <cell r="AJ5" t="str">
            <v>PHV System</v>
          </cell>
        </row>
        <row r="6">
          <cell r="A6" t="str">
            <v>BAR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A7" t="str">
            <v>BEX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A8" t="str">
            <v>BND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A9" t="str">
            <v>BRE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A10" t="str">
            <v>BRO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A11" t="str">
            <v>CAM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A12" t="str">
            <v>CRO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A13" t="str">
            <v>EAL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A14" t="str">
            <v>ENF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A15" t="str">
            <v>GRE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A16" t="str">
            <v>HAC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A17" t="str">
            <v>HAM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A18" t="str">
            <v>HAR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A19" t="str">
            <v>HAV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</row>
        <row r="20">
          <cell r="A20" t="str">
            <v>HAY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21" t="str">
            <v>HIL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A22" t="str">
            <v>HOU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A23" t="str">
            <v>ISL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</row>
        <row r="24">
          <cell r="A24" t="str">
            <v>KEN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A25" t="str">
            <v>KIN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</row>
        <row r="26">
          <cell r="A26" t="str">
            <v>LAM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A27" t="str">
            <v>LEW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A28" t="str">
            <v>LON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A29" t="str">
            <v>MER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A30" t="str">
            <v>NEW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A31" t="str">
            <v>RED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A32" t="str">
            <v>RIC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</row>
        <row r="33">
          <cell r="A33" t="str">
            <v>SOU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A34" t="str">
            <v>SUT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</row>
        <row r="35">
          <cell r="A35" t="str">
            <v>TOW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</row>
        <row r="36">
          <cell r="A36" t="str">
            <v>WAL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A37" t="str">
            <v>WAN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WES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A39" t="str">
            <v>TOTAL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</sheetData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</row>
      </sheetData>
      <sheetData sheetId="1">
        <row r="2">
          <cell r="A2" t="str">
            <v>BND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  <cell r="C4" t="str">
            <v>Total Queries &amp; Complaints Received</v>
          </cell>
          <cell r="D4" t="str">
            <v xml:space="preserve">Queries </v>
          </cell>
          <cell r="E4" t="str">
            <v xml:space="preserve">Complaints </v>
          </cell>
          <cell r="F4" t="str">
            <v>Complaints Upheld out of complaints</v>
          </cell>
          <cell r="G4" t="str">
            <v xml:space="preserve">Breakdown of Total Queries &amp; Complaints </v>
          </cell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 t="str">
            <v>Breakdown of Complaints Upheld</v>
          </cell>
          <cell r="V4"/>
          <cell r="W4"/>
          <cell r="X4"/>
          <cell r="Y4"/>
          <cell r="Z4"/>
          <cell r="AA4"/>
          <cell r="AB4"/>
          <cell r="AC4"/>
          <cell r="AD4"/>
          <cell r="AE4"/>
          <cell r="AF4"/>
          <cell r="AG4"/>
          <cell r="AH4"/>
          <cell r="AI4"/>
          <cell r="AJ4"/>
        </row>
        <row r="5">
          <cell r="A5" t="str">
            <v>Borough</v>
          </cell>
          <cell r="B5"/>
          <cell r="C5"/>
          <cell r="D5"/>
          <cell r="E5"/>
          <cell r="F5"/>
          <cell r="G5" t="str">
            <v>Booking Error</v>
          </cell>
          <cell r="H5" t="str">
            <v>Driver  (Rude/Abusive/Un-helpful/etc.)</v>
          </cell>
          <cell r="I5" t="str">
            <v>Early Vehicle</v>
          </cell>
          <cell r="J5" t="str">
            <v>Fare Query</v>
          </cell>
          <cell r="K5" t="str">
            <v xml:space="preserve">Late Taxi </v>
          </cell>
          <cell r="L5" t="str">
            <v xml:space="preserve">No Taxi </v>
          </cell>
          <cell r="M5" t="str">
            <v>Operator Issue</v>
          </cell>
          <cell r="N5" t="str">
            <v>Phone (Answering, Response)</v>
          </cell>
          <cell r="O5" t="str">
            <v>PHV (Late/No Show/Driver/etc)</v>
          </cell>
          <cell r="P5" t="str">
            <v>Ringback</v>
          </cell>
          <cell r="Q5" t="str">
            <v>Run-In too high</v>
          </cell>
          <cell r="R5" t="str">
            <v>System/Gazetteer Problem</v>
          </cell>
          <cell r="S5" t="str">
            <v>Taxi arrived at incorrect Location</v>
          </cell>
          <cell r="T5" t="str">
            <v>Waiting time charge query</v>
          </cell>
          <cell r="U5" t="str">
            <v>Total Taxi</v>
          </cell>
          <cell r="V5" t="str">
            <v>Booking Error</v>
          </cell>
          <cell r="W5" t="str">
            <v>Driver  (Rude/Abusive/Un-helpful/etc.)</v>
          </cell>
          <cell r="X5" t="str">
            <v>Early Vehicle</v>
          </cell>
          <cell r="Y5" t="str">
            <v>Fare/Run-In/Waiting Time Charge Query</v>
          </cell>
          <cell r="Z5" t="str">
            <v>Gazetteer/IT/System Issue</v>
          </cell>
          <cell r="AA5" t="str">
            <v>Late Vehicle</v>
          </cell>
          <cell r="AB5" t="str">
            <v>No Vehicle</v>
          </cell>
          <cell r="AC5" t="str">
            <v>Operator Issue (Rude/Abusive/Un-helpful/etc.)</v>
          </cell>
          <cell r="AD5" t="str">
            <v>Phone/Ringback Issue</v>
          </cell>
          <cell r="AE5" t="str">
            <v>Total PHV</v>
          </cell>
          <cell r="AF5" t="str">
            <v>PHV Driver</v>
          </cell>
          <cell r="AG5" t="str">
            <v>PHV Fare</v>
          </cell>
          <cell r="AH5" t="str">
            <v>PHV Late/No</v>
          </cell>
          <cell r="AI5" t="str">
            <v>PHV Operator</v>
          </cell>
          <cell r="AJ5" t="str">
            <v>PHV System</v>
          </cell>
        </row>
        <row r="6">
          <cell r="A6" t="str">
            <v>BAR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A7" t="str">
            <v>BEX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A8" t="str">
            <v>BND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A9" t="str">
            <v>BRE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A10" t="str">
            <v>BRO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A11" t="str">
            <v>CAM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A12" t="str">
            <v>CRO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A13" t="str">
            <v>EAL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A14" t="str">
            <v>ENF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A15" t="str">
            <v>GRE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A16" t="str">
            <v>HAC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A17" t="str">
            <v>HAM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A18" t="str">
            <v>HAR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A19" t="str">
            <v>HAV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</row>
        <row r="20">
          <cell r="A20" t="str">
            <v>HAY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21" t="str">
            <v>HIL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A22" t="str">
            <v>HOU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A23" t="str">
            <v>ISL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</row>
        <row r="24">
          <cell r="A24" t="str">
            <v>KEN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A25" t="str">
            <v>KIN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</row>
        <row r="26">
          <cell r="A26" t="str">
            <v>LAM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A27" t="str">
            <v>LEW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A28" t="str">
            <v>LON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A29" t="str">
            <v>MER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A30" t="str">
            <v>NEW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A31" t="str">
            <v>RED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A32" t="str">
            <v>RIC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</row>
        <row r="33">
          <cell r="A33" t="str">
            <v>SOU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A34" t="str">
            <v>SUT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</row>
        <row r="35">
          <cell r="A35" t="str">
            <v>TOW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</row>
        <row r="36">
          <cell r="A36" t="str">
            <v>WAL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A37" t="str">
            <v>WAN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WES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A39" t="str">
            <v>TOTAL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</row>
      </sheetData>
      <sheetData sheetId="1">
        <row r="2">
          <cell r="A2" t="str">
            <v>BND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  <cell r="C4" t="str">
            <v>Total Queries &amp; Complaints Received</v>
          </cell>
          <cell r="D4" t="str">
            <v xml:space="preserve">Queries </v>
          </cell>
          <cell r="E4" t="str">
            <v xml:space="preserve">Complaints </v>
          </cell>
          <cell r="F4" t="str">
            <v>Complaints Upheld out of complaints</v>
          </cell>
          <cell r="G4" t="str">
            <v xml:space="preserve">Breakdown of Total Queries &amp; Complaints </v>
          </cell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 t="str">
            <v>Breakdown of Complaints Upheld</v>
          </cell>
          <cell r="V4"/>
          <cell r="W4"/>
          <cell r="X4"/>
          <cell r="Y4"/>
          <cell r="Z4"/>
          <cell r="AA4"/>
          <cell r="AB4"/>
          <cell r="AC4"/>
          <cell r="AD4"/>
          <cell r="AE4"/>
          <cell r="AF4"/>
          <cell r="AG4"/>
          <cell r="AH4"/>
          <cell r="AI4"/>
          <cell r="AJ4"/>
        </row>
        <row r="5">
          <cell r="A5" t="str">
            <v>Borough</v>
          </cell>
          <cell r="B5"/>
          <cell r="C5"/>
          <cell r="D5"/>
          <cell r="E5"/>
          <cell r="F5"/>
          <cell r="G5" t="str">
            <v>Booking Error</v>
          </cell>
          <cell r="H5" t="str">
            <v>Driver  (Rude/Abusive/Un-helpful/etc.)</v>
          </cell>
          <cell r="I5" t="str">
            <v>Early Vehicle</v>
          </cell>
          <cell r="J5" t="str">
            <v>Fare Query</v>
          </cell>
          <cell r="K5" t="str">
            <v xml:space="preserve">Late Taxi </v>
          </cell>
          <cell r="L5" t="str">
            <v xml:space="preserve">No Taxi </v>
          </cell>
          <cell r="M5" t="str">
            <v>Operator Issue</v>
          </cell>
          <cell r="N5" t="str">
            <v>Phone (Answering, Response)</v>
          </cell>
          <cell r="O5" t="str">
            <v>PHV (Late/No Show/Driver/etc)</v>
          </cell>
          <cell r="P5" t="str">
            <v>Ringback</v>
          </cell>
          <cell r="Q5" t="str">
            <v>Run-In too high</v>
          </cell>
          <cell r="R5" t="str">
            <v>System/Gazetteer Problem</v>
          </cell>
          <cell r="S5" t="str">
            <v>Taxi arrived at incorrect Location</v>
          </cell>
          <cell r="T5" t="str">
            <v>Waiting time charge query</v>
          </cell>
          <cell r="U5" t="str">
            <v>Total Taxi</v>
          </cell>
          <cell r="V5" t="str">
            <v>Booking Error</v>
          </cell>
          <cell r="W5" t="str">
            <v>Driver  (Rude/Abusive/Un-helpful/etc.)</v>
          </cell>
          <cell r="X5" t="str">
            <v>Early Vehicle</v>
          </cell>
          <cell r="Y5" t="str">
            <v>Fare/Run-In/Waiting Time Charge Query</v>
          </cell>
          <cell r="Z5" t="str">
            <v>Gazetteer/IT/System Issue</v>
          </cell>
          <cell r="AA5" t="str">
            <v>Late Vehicle</v>
          </cell>
          <cell r="AB5" t="str">
            <v>No Vehicle</v>
          </cell>
          <cell r="AC5" t="str">
            <v>Operator Issue (Rude/Abusive/Un-helpful/etc.)</v>
          </cell>
          <cell r="AD5" t="str">
            <v>Phone/Ringback Issue</v>
          </cell>
          <cell r="AE5" t="str">
            <v>Total PHV</v>
          </cell>
          <cell r="AF5" t="str">
            <v>PHV Driver</v>
          </cell>
          <cell r="AG5" t="str">
            <v>PHV Fare</v>
          </cell>
          <cell r="AH5" t="str">
            <v>PHV Late/No</v>
          </cell>
          <cell r="AI5" t="str">
            <v>PHV Operator</v>
          </cell>
          <cell r="AJ5" t="str">
            <v>PHV System</v>
          </cell>
        </row>
        <row r="6">
          <cell r="A6" t="str">
            <v>BAR</v>
          </cell>
          <cell r="B6">
            <v>314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A7" t="str">
            <v>BEX</v>
          </cell>
          <cell r="B7">
            <v>100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A8" t="str">
            <v>BND</v>
          </cell>
          <cell r="B8">
            <v>257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A9" t="str">
            <v>BRE</v>
          </cell>
          <cell r="B9">
            <v>428</v>
          </cell>
          <cell r="C9">
            <v>2</v>
          </cell>
          <cell r="D9">
            <v>1</v>
          </cell>
          <cell r="E9">
            <v>1</v>
          </cell>
          <cell r="F9">
            <v>2</v>
          </cell>
          <cell r="G9">
            <v>0</v>
          </cell>
          <cell r="H9">
            <v>0</v>
          </cell>
          <cell r="I9">
            <v>0</v>
          </cell>
          <cell r="J9">
            <v>1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0</v>
          </cell>
          <cell r="W9">
            <v>1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1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1</v>
          </cell>
        </row>
        <row r="10">
          <cell r="A10" t="str">
            <v>BRO</v>
          </cell>
          <cell r="B10">
            <v>180</v>
          </cell>
          <cell r="C10">
            <v>1</v>
          </cell>
          <cell r="D10">
            <v>0</v>
          </cell>
          <cell r="E10">
            <v>1</v>
          </cell>
          <cell r="F10">
            <v>0</v>
          </cell>
          <cell r="G10">
            <v>0</v>
          </cell>
          <cell r="H10">
            <v>1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A11" t="str">
            <v>CAM</v>
          </cell>
          <cell r="B11">
            <v>910</v>
          </cell>
          <cell r="C11">
            <v>3</v>
          </cell>
          <cell r="D11">
            <v>1</v>
          </cell>
          <cell r="E11">
            <v>2</v>
          </cell>
          <cell r="F11">
            <v>1</v>
          </cell>
          <cell r="G11">
            <v>0</v>
          </cell>
          <cell r="H11">
            <v>1</v>
          </cell>
          <cell r="I11">
            <v>0</v>
          </cell>
          <cell r="J11">
            <v>0</v>
          </cell>
          <cell r="K11">
            <v>1</v>
          </cell>
          <cell r="L11">
            <v>0</v>
          </cell>
          <cell r="M11">
            <v>1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1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1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A12" t="str">
            <v>CRO</v>
          </cell>
          <cell r="B12">
            <v>406</v>
          </cell>
          <cell r="C12">
            <v>1</v>
          </cell>
          <cell r="D12">
            <v>1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1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A13" t="str">
            <v>EAL</v>
          </cell>
          <cell r="B13">
            <v>337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A14" t="str">
            <v>ENF</v>
          </cell>
          <cell r="B14">
            <v>183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A15" t="str">
            <v>GRE</v>
          </cell>
          <cell r="B15">
            <v>504</v>
          </cell>
          <cell r="C15">
            <v>1</v>
          </cell>
          <cell r="D15">
            <v>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1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A16" t="str">
            <v>HAC</v>
          </cell>
          <cell r="B16">
            <v>874</v>
          </cell>
          <cell r="C16">
            <v>1</v>
          </cell>
          <cell r="D16">
            <v>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A17" t="str">
            <v>HAM</v>
          </cell>
          <cell r="B17">
            <v>466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A18" t="str">
            <v>HAR</v>
          </cell>
          <cell r="B18">
            <v>202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A19" t="str">
            <v>HAV</v>
          </cell>
          <cell r="B19">
            <v>416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</row>
        <row r="20">
          <cell r="A20" t="str">
            <v>HAY</v>
          </cell>
          <cell r="B20">
            <v>839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21" t="str">
            <v>HIL</v>
          </cell>
          <cell r="B21">
            <v>228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A22" t="str">
            <v>HOU</v>
          </cell>
          <cell r="B22">
            <v>305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A23" t="str">
            <v>ISL</v>
          </cell>
          <cell r="B23">
            <v>759</v>
          </cell>
          <cell r="C23">
            <v>1</v>
          </cell>
          <cell r="D23">
            <v>0</v>
          </cell>
          <cell r="E23">
            <v>1</v>
          </cell>
          <cell r="F23">
            <v>1</v>
          </cell>
          <cell r="G23">
            <v>0</v>
          </cell>
          <cell r="H23">
            <v>1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0</v>
          </cell>
          <cell r="W23">
            <v>1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</row>
        <row r="24">
          <cell r="A24" t="str">
            <v>KEN</v>
          </cell>
          <cell r="B24">
            <v>653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A25" t="str">
            <v>KIN</v>
          </cell>
          <cell r="B25">
            <v>396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</row>
        <row r="26">
          <cell r="A26" t="str">
            <v>LAM</v>
          </cell>
          <cell r="B26">
            <v>447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A27" t="str">
            <v>LEW</v>
          </cell>
          <cell r="B27">
            <v>859</v>
          </cell>
          <cell r="C27">
            <v>1</v>
          </cell>
          <cell r="D27">
            <v>0</v>
          </cell>
          <cell r="E27">
            <v>1</v>
          </cell>
          <cell r="F27">
            <v>0</v>
          </cell>
          <cell r="G27">
            <v>0</v>
          </cell>
          <cell r="H27">
            <v>1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A28" t="str">
            <v>LON</v>
          </cell>
          <cell r="B28">
            <v>15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A29" t="str">
            <v>MER</v>
          </cell>
          <cell r="B29">
            <v>406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A30" t="str">
            <v>NEW</v>
          </cell>
          <cell r="B30">
            <v>678</v>
          </cell>
          <cell r="C30">
            <v>1</v>
          </cell>
          <cell r="D30">
            <v>0</v>
          </cell>
          <cell r="E30">
            <v>1</v>
          </cell>
          <cell r="F30">
            <v>0</v>
          </cell>
          <cell r="G30">
            <v>0</v>
          </cell>
          <cell r="H30">
            <v>1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A31" t="str">
            <v>RED</v>
          </cell>
          <cell r="B31">
            <v>471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A32" t="str">
            <v>RIC</v>
          </cell>
          <cell r="B32">
            <v>428</v>
          </cell>
          <cell r="C32">
            <v>1</v>
          </cell>
          <cell r="D32">
            <v>0</v>
          </cell>
          <cell r="E32">
            <v>1</v>
          </cell>
          <cell r="F32">
            <v>1</v>
          </cell>
          <cell r="G32">
            <v>0</v>
          </cell>
          <cell r="H32">
            <v>1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1</v>
          </cell>
          <cell r="V32">
            <v>0</v>
          </cell>
          <cell r="W32">
            <v>1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</row>
        <row r="33">
          <cell r="A33" t="str">
            <v>SOU</v>
          </cell>
          <cell r="B33">
            <v>588</v>
          </cell>
          <cell r="C33">
            <v>1</v>
          </cell>
          <cell r="D33">
            <v>1</v>
          </cell>
          <cell r="E33">
            <v>0</v>
          </cell>
          <cell r="F33">
            <v>1</v>
          </cell>
          <cell r="G33">
            <v>1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1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A34" t="str">
            <v>SUT</v>
          </cell>
          <cell r="B34">
            <v>309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</row>
        <row r="35">
          <cell r="A35" t="str">
            <v>TOW</v>
          </cell>
          <cell r="B35">
            <v>422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</row>
        <row r="36">
          <cell r="A36" t="str">
            <v>WAL</v>
          </cell>
          <cell r="B36">
            <v>251</v>
          </cell>
          <cell r="C36">
            <v>1</v>
          </cell>
          <cell r="D36">
            <v>0</v>
          </cell>
          <cell r="E36">
            <v>1</v>
          </cell>
          <cell r="F36">
            <v>1</v>
          </cell>
          <cell r="G36">
            <v>0</v>
          </cell>
          <cell r="H36">
            <v>1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1</v>
          </cell>
          <cell r="V36">
            <v>0</v>
          </cell>
          <cell r="W36">
            <v>1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A37" t="str">
            <v>WAN</v>
          </cell>
          <cell r="B37">
            <v>407</v>
          </cell>
          <cell r="C37">
            <v>1</v>
          </cell>
          <cell r="D37">
            <v>0</v>
          </cell>
          <cell r="E37">
            <v>1</v>
          </cell>
          <cell r="F37">
            <v>1</v>
          </cell>
          <cell r="G37">
            <v>0</v>
          </cell>
          <cell r="H37">
            <v>1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0</v>
          </cell>
          <cell r="W37">
            <v>1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WES</v>
          </cell>
          <cell r="B38">
            <v>587</v>
          </cell>
          <cell r="C38">
            <v>1</v>
          </cell>
          <cell r="D38">
            <v>0</v>
          </cell>
          <cell r="E38">
            <v>1</v>
          </cell>
          <cell r="F38">
            <v>1</v>
          </cell>
          <cell r="G38">
            <v>0</v>
          </cell>
          <cell r="H38">
            <v>1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1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1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A39" t="str">
            <v>TOTAL</v>
          </cell>
          <cell r="B39">
            <v>14625</v>
          </cell>
          <cell r="C39">
            <v>17</v>
          </cell>
          <cell r="D39">
            <v>6</v>
          </cell>
          <cell r="E39">
            <v>11</v>
          </cell>
          <cell r="F39">
            <v>9</v>
          </cell>
          <cell r="G39">
            <v>1</v>
          </cell>
          <cell r="H39">
            <v>9</v>
          </cell>
          <cell r="I39">
            <v>0</v>
          </cell>
          <cell r="J39">
            <v>4</v>
          </cell>
          <cell r="K39">
            <v>1</v>
          </cell>
          <cell r="L39">
            <v>0</v>
          </cell>
          <cell r="M39">
            <v>1</v>
          </cell>
          <cell r="N39">
            <v>0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8</v>
          </cell>
          <cell r="V39">
            <v>1</v>
          </cell>
          <cell r="W39">
            <v>5</v>
          </cell>
          <cell r="X39">
            <v>0</v>
          </cell>
          <cell r="Y39">
            <v>0</v>
          </cell>
          <cell r="Z39">
            <v>1</v>
          </cell>
          <cell r="AA39">
            <v>1</v>
          </cell>
          <cell r="AB39">
            <v>0</v>
          </cell>
          <cell r="AC39">
            <v>0</v>
          </cell>
          <cell r="AD39">
            <v>0</v>
          </cell>
          <cell r="AE39">
            <v>1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1</v>
          </cell>
        </row>
      </sheetData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</row>
      </sheetData>
      <sheetData sheetId="1">
        <row r="2">
          <cell r="A2" t="str">
            <v>BND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  <cell r="C4" t="str">
            <v>Total Queries &amp; Complaints Received</v>
          </cell>
          <cell r="D4" t="str">
            <v xml:space="preserve">Queries </v>
          </cell>
          <cell r="E4" t="str">
            <v xml:space="preserve">Complaints </v>
          </cell>
          <cell r="F4" t="str">
            <v>Complaints Upheld out of complaints</v>
          </cell>
          <cell r="G4" t="str">
            <v xml:space="preserve">Breakdown of Total Queries &amp; Complaints </v>
          </cell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 t="str">
            <v>Breakdown of Complaints Upheld</v>
          </cell>
          <cell r="V4"/>
          <cell r="W4"/>
          <cell r="X4"/>
          <cell r="Y4"/>
          <cell r="Z4"/>
          <cell r="AA4"/>
          <cell r="AB4"/>
          <cell r="AC4"/>
          <cell r="AD4"/>
          <cell r="AE4"/>
          <cell r="AF4"/>
          <cell r="AG4"/>
          <cell r="AH4"/>
          <cell r="AI4"/>
          <cell r="AJ4"/>
        </row>
        <row r="5">
          <cell r="A5" t="str">
            <v>Borough</v>
          </cell>
          <cell r="B5"/>
          <cell r="C5"/>
          <cell r="D5"/>
          <cell r="E5"/>
          <cell r="F5"/>
          <cell r="G5" t="str">
            <v>Booking Error</v>
          </cell>
          <cell r="H5" t="str">
            <v>Driver  (Rude/Abusive/Un-helpful/etc.)</v>
          </cell>
          <cell r="I5" t="str">
            <v>Early Vehicle</v>
          </cell>
          <cell r="J5" t="str">
            <v>Fare Query</v>
          </cell>
          <cell r="K5" t="str">
            <v xml:space="preserve">Late Taxi </v>
          </cell>
          <cell r="L5" t="str">
            <v xml:space="preserve">No Taxi </v>
          </cell>
          <cell r="M5" t="str">
            <v>Operator Issue</v>
          </cell>
          <cell r="N5" t="str">
            <v>Phone (Answering, Response)</v>
          </cell>
          <cell r="O5" t="str">
            <v>PHV (Late/No Show/Driver/etc)</v>
          </cell>
          <cell r="P5" t="str">
            <v>Ringback</v>
          </cell>
          <cell r="Q5" t="str">
            <v>Run-In too high</v>
          </cell>
          <cell r="R5" t="str">
            <v>System/Gazetteer Problem</v>
          </cell>
          <cell r="S5" t="str">
            <v>Taxi arrived at incorrect Location</v>
          </cell>
          <cell r="T5" t="str">
            <v>Waiting time charge query</v>
          </cell>
          <cell r="U5" t="str">
            <v>Total Taxi</v>
          </cell>
          <cell r="V5" t="str">
            <v>Booking Error</v>
          </cell>
          <cell r="W5" t="str">
            <v>Driver  (Rude/Abusive/Un-helpful/etc.)</v>
          </cell>
          <cell r="X5" t="str">
            <v>Early Vehicle</v>
          </cell>
          <cell r="Y5" t="str">
            <v>Fare/Run-In/Waiting Time Charge Query</v>
          </cell>
          <cell r="Z5" t="str">
            <v>Gazetteer/IT/System Issue</v>
          </cell>
          <cell r="AA5" t="str">
            <v>Late Vehicle</v>
          </cell>
          <cell r="AB5" t="str">
            <v>No Vehicle</v>
          </cell>
          <cell r="AC5" t="str">
            <v>Operator Issue (Rude/Abusive/Un-helpful/etc.)</v>
          </cell>
          <cell r="AD5" t="str">
            <v>Phone/Ringback Issue</v>
          </cell>
          <cell r="AE5" t="str">
            <v>Total PHV</v>
          </cell>
          <cell r="AF5" t="str">
            <v>PHV Driver</v>
          </cell>
          <cell r="AG5" t="str">
            <v>PHV Fare</v>
          </cell>
          <cell r="AH5" t="str">
            <v>PHV Late/No</v>
          </cell>
          <cell r="AI5" t="str">
            <v>PHV Operator</v>
          </cell>
          <cell r="AJ5" t="str">
            <v>PHV System</v>
          </cell>
        </row>
        <row r="6">
          <cell r="A6" t="str">
            <v>BAR</v>
          </cell>
          <cell r="B6">
            <v>467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A7" t="str">
            <v>BEX</v>
          </cell>
          <cell r="B7">
            <v>165</v>
          </cell>
          <cell r="C7">
            <v>1</v>
          </cell>
          <cell r="D7">
            <v>1</v>
          </cell>
          <cell r="E7">
            <v>0</v>
          </cell>
          <cell r="F7">
            <v>1</v>
          </cell>
          <cell r="G7">
            <v>1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1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A8" t="str">
            <v>BND</v>
          </cell>
          <cell r="B8">
            <v>422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A9" t="str">
            <v>BRE</v>
          </cell>
          <cell r="B9">
            <v>667</v>
          </cell>
          <cell r="C9">
            <v>2</v>
          </cell>
          <cell r="D9">
            <v>1</v>
          </cell>
          <cell r="E9">
            <v>1</v>
          </cell>
          <cell r="F9">
            <v>1</v>
          </cell>
          <cell r="G9">
            <v>0</v>
          </cell>
          <cell r="H9">
            <v>0</v>
          </cell>
          <cell r="I9">
            <v>0</v>
          </cell>
          <cell r="J9">
            <v>1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1</v>
          </cell>
          <cell r="AF9">
            <v>0</v>
          </cell>
          <cell r="AG9">
            <v>0</v>
          </cell>
          <cell r="AH9">
            <v>0</v>
          </cell>
          <cell r="AI9">
            <v>1</v>
          </cell>
          <cell r="AJ9">
            <v>0</v>
          </cell>
        </row>
        <row r="10">
          <cell r="A10" t="str">
            <v>BRO</v>
          </cell>
          <cell r="B10">
            <v>264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A11" t="str">
            <v>CAM</v>
          </cell>
          <cell r="B11">
            <v>1446</v>
          </cell>
          <cell r="C11">
            <v>1</v>
          </cell>
          <cell r="D11">
            <v>1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A12" t="str">
            <v>CRO</v>
          </cell>
          <cell r="B12">
            <v>661</v>
          </cell>
          <cell r="C12">
            <v>2</v>
          </cell>
          <cell r="D12">
            <v>1</v>
          </cell>
          <cell r="E12">
            <v>1</v>
          </cell>
          <cell r="F12">
            <v>2</v>
          </cell>
          <cell r="G12">
            <v>0</v>
          </cell>
          <cell r="H12">
            <v>0</v>
          </cell>
          <cell r="I12">
            <v>1</v>
          </cell>
          <cell r="J12">
            <v>0</v>
          </cell>
          <cell r="K12">
            <v>0</v>
          </cell>
          <cell r="L12">
            <v>1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2</v>
          </cell>
          <cell r="V12">
            <v>0</v>
          </cell>
          <cell r="W12">
            <v>1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1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A13" t="str">
            <v>EAL</v>
          </cell>
          <cell r="B13">
            <v>538</v>
          </cell>
          <cell r="C13">
            <v>4</v>
          </cell>
          <cell r="D13">
            <v>1</v>
          </cell>
          <cell r="E13">
            <v>3</v>
          </cell>
          <cell r="F13">
            <v>3</v>
          </cell>
          <cell r="G13">
            <v>0</v>
          </cell>
          <cell r="H13">
            <v>1</v>
          </cell>
          <cell r="I13">
            <v>0</v>
          </cell>
          <cell r="J13">
            <v>1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2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0</v>
          </cell>
          <cell r="W13">
            <v>1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2</v>
          </cell>
          <cell r="AF13">
            <v>0</v>
          </cell>
          <cell r="AG13">
            <v>0</v>
          </cell>
          <cell r="AH13">
            <v>0</v>
          </cell>
          <cell r="AI13">
            <v>2</v>
          </cell>
          <cell r="AJ13">
            <v>0</v>
          </cell>
        </row>
        <row r="14">
          <cell r="A14" t="str">
            <v>ENF</v>
          </cell>
          <cell r="B14">
            <v>257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A15" t="str">
            <v>GRE</v>
          </cell>
          <cell r="B15">
            <v>835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A16" t="str">
            <v>HAC</v>
          </cell>
          <cell r="B16">
            <v>1418</v>
          </cell>
          <cell r="C16">
            <v>2</v>
          </cell>
          <cell r="D16">
            <v>1</v>
          </cell>
          <cell r="E16">
            <v>1</v>
          </cell>
          <cell r="F16">
            <v>0</v>
          </cell>
          <cell r="G16">
            <v>0</v>
          </cell>
          <cell r="H16">
            <v>1</v>
          </cell>
          <cell r="I16">
            <v>0</v>
          </cell>
          <cell r="J16">
            <v>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A17" t="str">
            <v>HAM</v>
          </cell>
          <cell r="B17">
            <v>740</v>
          </cell>
          <cell r="C17">
            <v>1</v>
          </cell>
          <cell r="D17">
            <v>0</v>
          </cell>
          <cell r="E17">
            <v>1</v>
          </cell>
          <cell r="F17">
            <v>1</v>
          </cell>
          <cell r="G17">
            <v>0</v>
          </cell>
          <cell r="H17">
            <v>1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0</v>
          </cell>
          <cell r="W17">
            <v>1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A18" t="str">
            <v>HAR</v>
          </cell>
          <cell r="B18">
            <v>292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A19" t="str">
            <v>HAV</v>
          </cell>
          <cell r="B19">
            <v>784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</row>
        <row r="20">
          <cell r="A20" t="str">
            <v>HAY</v>
          </cell>
          <cell r="B20">
            <v>1351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21" t="str">
            <v>HIL</v>
          </cell>
          <cell r="B21">
            <v>357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A22" t="str">
            <v>HOU</v>
          </cell>
          <cell r="B22">
            <v>414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A23" t="str">
            <v>ISL</v>
          </cell>
          <cell r="B23">
            <v>1141</v>
          </cell>
          <cell r="C23">
            <v>4</v>
          </cell>
          <cell r="D23">
            <v>1</v>
          </cell>
          <cell r="E23">
            <v>3</v>
          </cell>
          <cell r="F23">
            <v>4</v>
          </cell>
          <cell r="G23">
            <v>1</v>
          </cell>
          <cell r="H23">
            <v>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3</v>
          </cell>
          <cell r="V23">
            <v>1</v>
          </cell>
          <cell r="W23">
            <v>2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1</v>
          </cell>
          <cell r="AF23">
            <v>0</v>
          </cell>
          <cell r="AG23">
            <v>0</v>
          </cell>
          <cell r="AH23">
            <v>0</v>
          </cell>
          <cell r="AI23">
            <v>1</v>
          </cell>
          <cell r="AJ23">
            <v>0</v>
          </cell>
        </row>
        <row r="24">
          <cell r="A24" t="str">
            <v>KEN</v>
          </cell>
          <cell r="B24">
            <v>924</v>
          </cell>
          <cell r="C24">
            <v>1</v>
          </cell>
          <cell r="D24">
            <v>0</v>
          </cell>
          <cell r="E24">
            <v>1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1</v>
          </cell>
          <cell r="AF24">
            <v>0</v>
          </cell>
          <cell r="AG24">
            <v>0</v>
          </cell>
          <cell r="AH24">
            <v>0</v>
          </cell>
          <cell r="AI24">
            <v>1</v>
          </cell>
          <cell r="AJ24">
            <v>0</v>
          </cell>
        </row>
        <row r="25">
          <cell r="A25" t="str">
            <v>KIN</v>
          </cell>
          <cell r="B25">
            <v>640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</row>
        <row r="26">
          <cell r="A26" t="str">
            <v>LAM</v>
          </cell>
          <cell r="B26">
            <v>729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A27" t="str">
            <v>LEW</v>
          </cell>
          <cell r="B27">
            <v>1271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A28" t="str">
            <v>LON</v>
          </cell>
          <cell r="B28">
            <v>25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A29" t="str">
            <v>MER</v>
          </cell>
          <cell r="B29">
            <v>554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A30" t="str">
            <v>NEW</v>
          </cell>
          <cell r="B30">
            <v>903</v>
          </cell>
          <cell r="C30">
            <v>1</v>
          </cell>
          <cell r="D30">
            <v>1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A31" t="str">
            <v>RED</v>
          </cell>
          <cell r="B31">
            <v>739</v>
          </cell>
          <cell r="C31">
            <v>2</v>
          </cell>
          <cell r="D31">
            <v>0</v>
          </cell>
          <cell r="E31">
            <v>2</v>
          </cell>
          <cell r="F31">
            <v>1</v>
          </cell>
          <cell r="G31">
            <v>0</v>
          </cell>
          <cell r="H31">
            <v>1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1</v>
          </cell>
          <cell r="V31">
            <v>1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A32" t="str">
            <v>RIC</v>
          </cell>
          <cell r="B32">
            <v>627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</row>
        <row r="33">
          <cell r="A33" t="str">
            <v>SOU</v>
          </cell>
          <cell r="B33">
            <v>983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A34" t="str">
            <v>SUT</v>
          </cell>
          <cell r="B34">
            <v>458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</row>
        <row r="35">
          <cell r="A35" t="str">
            <v>TOW</v>
          </cell>
          <cell r="B35">
            <v>867</v>
          </cell>
          <cell r="C35">
            <v>1</v>
          </cell>
          <cell r="D35">
            <v>0</v>
          </cell>
          <cell r="E35">
            <v>1</v>
          </cell>
          <cell r="F35">
            <v>1</v>
          </cell>
          <cell r="G35">
            <v>0</v>
          </cell>
          <cell r="H35">
            <v>1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1</v>
          </cell>
          <cell r="V35">
            <v>0</v>
          </cell>
          <cell r="W35">
            <v>1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</row>
        <row r="36">
          <cell r="A36" t="str">
            <v>WAL</v>
          </cell>
          <cell r="B36">
            <v>345</v>
          </cell>
          <cell r="C36">
            <v>0</v>
          </cell>
          <cell r="D36">
            <v>-1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A37" t="str">
            <v>WAN</v>
          </cell>
          <cell r="B37">
            <v>565</v>
          </cell>
          <cell r="C37">
            <v>2</v>
          </cell>
          <cell r="D37">
            <v>0</v>
          </cell>
          <cell r="E37">
            <v>2</v>
          </cell>
          <cell r="F37">
            <v>1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1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WES</v>
          </cell>
          <cell r="B38">
            <v>840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A39" t="str">
            <v>TOTAL</v>
          </cell>
          <cell r="B39">
            <v>22689</v>
          </cell>
          <cell r="C39">
            <v>24</v>
          </cell>
          <cell r="D39">
            <v>7</v>
          </cell>
          <cell r="E39">
            <v>17</v>
          </cell>
          <cell r="F39">
            <v>16</v>
          </cell>
          <cell r="G39">
            <v>2</v>
          </cell>
          <cell r="H39">
            <v>7</v>
          </cell>
          <cell r="I39">
            <v>1</v>
          </cell>
          <cell r="J39">
            <v>5</v>
          </cell>
          <cell r="K39">
            <v>1</v>
          </cell>
          <cell r="L39">
            <v>1</v>
          </cell>
          <cell r="M39">
            <v>0</v>
          </cell>
          <cell r="N39">
            <v>0</v>
          </cell>
          <cell r="O39">
            <v>7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11</v>
          </cell>
          <cell r="V39">
            <v>3</v>
          </cell>
          <cell r="W39">
            <v>6</v>
          </cell>
          <cell r="X39">
            <v>0</v>
          </cell>
          <cell r="Y39">
            <v>0</v>
          </cell>
          <cell r="Z39">
            <v>0</v>
          </cell>
          <cell r="AA39">
            <v>1</v>
          </cell>
          <cell r="AB39">
            <v>1</v>
          </cell>
          <cell r="AC39">
            <v>0</v>
          </cell>
          <cell r="AD39">
            <v>0</v>
          </cell>
          <cell r="AE39">
            <v>5</v>
          </cell>
          <cell r="AF39">
            <v>0</v>
          </cell>
          <cell r="AG39">
            <v>0</v>
          </cell>
          <cell r="AH39">
            <v>0</v>
          </cell>
          <cell r="AI39">
            <v>5</v>
          </cell>
          <cell r="AJ39">
            <v>0</v>
          </cell>
        </row>
      </sheetData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PT"/>
    </sheetNames>
    <sheetDataSet>
      <sheetData sheetId="0">
        <row r="2">
          <cell r="A2" t="str">
            <v>BND</v>
          </cell>
        </row>
      </sheetData>
      <sheetData sheetId="1">
        <row r="2">
          <cell r="A2" t="str">
            <v>BND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  <cell r="C4" t="str">
            <v>Total Queries &amp; Complaints Received</v>
          </cell>
          <cell r="D4" t="str">
            <v xml:space="preserve">Queries </v>
          </cell>
          <cell r="E4" t="str">
            <v xml:space="preserve">Complaints </v>
          </cell>
          <cell r="F4" t="str">
            <v>Complaints Upheld out of complaints</v>
          </cell>
          <cell r="G4" t="str">
            <v xml:space="preserve">Breakdown of Total Queries &amp; Complaints </v>
          </cell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 t="str">
            <v>Breakdown of Complaints Upheld</v>
          </cell>
          <cell r="V4"/>
          <cell r="W4"/>
          <cell r="X4"/>
          <cell r="Y4"/>
          <cell r="Z4"/>
          <cell r="AA4"/>
          <cell r="AB4"/>
          <cell r="AC4"/>
          <cell r="AD4"/>
          <cell r="AE4"/>
          <cell r="AF4"/>
          <cell r="AG4"/>
          <cell r="AH4"/>
          <cell r="AI4"/>
          <cell r="AJ4"/>
        </row>
        <row r="5">
          <cell r="A5" t="str">
            <v>Borough</v>
          </cell>
          <cell r="B5"/>
          <cell r="C5"/>
          <cell r="D5"/>
          <cell r="E5"/>
          <cell r="F5"/>
          <cell r="G5" t="str">
            <v>Booking Error</v>
          </cell>
          <cell r="H5" t="str">
            <v>Driver  (Rude/Abusive/Un-helpful/etc.)</v>
          </cell>
          <cell r="I5" t="str">
            <v>Early Vehicle</v>
          </cell>
          <cell r="J5" t="str">
            <v>Fare Query</v>
          </cell>
          <cell r="K5" t="str">
            <v xml:space="preserve">Late Taxi </v>
          </cell>
          <cell r="L5" t="str">
            <v xml:space="preserve">No Taxi </v>
          </cell>
          <cell r="M5" t="str">
            <v>Operator Issue</v>
          </cell>
          <cell r="N5" t="str">
            <v>Phone (Answering, Response)</v>
          </cell>
          <cell r="O5" t="str">
            <v>PHV (Late/No Show/Driver/etc)</v>
          </cell>
          <cell r="P5" t="str">
            <v>Ringback</v>
          </cell>
          <cell r="Q5" t="str">
            <v>Run-In too high</v>
          </cell>
          <cell r="R5" t="str">
            <v>System/Gazetteer Problem</v>
          </cell>
          <cell r="S5" t="str">
            <v>Taxi arrived at incorrect Location</v>
          </cell>
          <cell r="T5" t="str">
            <v>Waiting time charge query</v>
          </cell>
          <cell r="U5" t="str">
            <v>Total Taxi</v>
          </cell>
          <cell r="V5" t="str">
            <v>Booking Error</v>
          </cell>
          <cell r="W5" t="str">
            <v>Driver  (Rude/Abusive/Un-helpful/etc.)</v>
          </cell>
          <cell r="X5" t="str">
            <v>Early Vehicle</v>
          </cell>
          <cell r="Y5" t="str">
            <v>Fare/Run-In/Waiting Time Charge Query</v>
          </cell>
          <cell r="Z5" t="str">
            <v>Gazetteer/IT/System Issue</v>
          </cell>
          <cell r="AA5" t="str">
            <v>Late Vehicle</v>
          </cell>
          <cell r="AB5" t="str">
            <v>No Vehicle</v>
          </cell>
          <cell r="AC5" t="str">
            <v>Operator Issue (Rude/Abusive/Un-helpful/etc.)</v>
          </cell>
          <cell r="AD5" t="str">
            <v>Phone/Ringback Issue</v>
          </cell>
          <cell r="AE5" t="str">
            <v>Total PHV</v>
          </cell>
          <cell r="AF5" t="str">
            <v>PHV Driver</v>
          </cell>
          <cell r="AG5" t="str">
            <v>PHV Fare</v>
          </cell>
          <cell r="AH5" t="str">
            <v>PHV Late/No</v>
          </cell>
          <cell r="AI5" t="str">
            <v>PHV Operator</v>
          </cell>
          <cell r="AJ5" t="str">
            <v>PHV System</v>
          </cell>
        </row>
        <row r="6">
          <cell r="A6" t="str">
            <v>BAR</v>
          </cell>
          <cell r="B6">
            <v>767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A7" t="str">
            <v>BEX</v>
          </cell>
          <cell r="B7">
            <v>329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A8" t="str">
            <v>BND</v>
          </cell>
          <cell r="B8">
            <v>711</v>
          </cell>
          <cell r="C8">
            <v>1</v>
          </cell>
          <cell r="D8">
            <v>0</v>
          </cell>
          <cell r="E8">
            <v>1</v>
          </cell>
          <cell r="F8">
            <v>1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1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A9" t="str">
            <v>BRE</v>
          </cell>
          <cell r="B9">
            <v>1071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A10" t="str">
            <v>BRO</v>
          </cell>
          <cell r="B10">
            <v>472</v>
          </cell>
          <cell r="C10">
            <v>1</v>
          </cell>
          <cell r="D10">
            <v>0</v>
          </cell>
          <cell r="E10">
            <v>1</v>
          </cell>
          <cell r="F10">
            <v>0</v>
          </cell>
          <cell r="G10">
            <v>0</v>
          </cell>
          <cell r="H10">
            <v>1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A11" t="str">
            <v>CAM</v>
          </cell>
          <cell r="B11">
            <v>2218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A12" t="str">
            <v>CRO</v>
          </cell>
          <cell r="B12">
            <v>1017</v>
          </cell>
          <cell r="C12">
            <v>3</v>
          </cell>
          <cell r="D12">
            <v>1</v>
          </cell>
          <cell r="E12">
            <v>2</v>
          </cell>
          <cell r="F12">
            <v>2</v>
          </cell>
          <cell r="G12">
            <v>0</v>
          </cell>
          <cell r="H12">
            <v>0</v>
          </cell>
          <cell r="I12">
            <v>0</v>
          </cell>
          <cell r="J12">
            <v>1</v>
          </cell>
          <cell r="K12">
            <v>0</v>
          </cell>
          <cell r="L12">
            <v>0</v>
          </cell>
          <cell r="M12">
            <v>1</v>
          </cell>
          <cell r="N12">
            <v>0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1</v>
          </cell>
          <cell r="AD12">
            <v>0</v>
          </cell>
          <cell r="AE12">
            <v>1</v>
          </cell>
          <cell r="AF12">
            <v>1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A13" t="str">
            <v>EAL</v>
          </cell>
          <cell r="B13">
            <v>769</v>
          </cell>
          <cell r="C13">
            <v>1</v>
          </cell>
          <cell r="D13">
            <v>0</v>
          </cell>
          <cell r="E13">
            <v>1</v>
          </cell>
          <cell r="F13">
            <v>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1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A14" t="str">
            <v>ENF</v>
          </cell>
          <cell r="B14">
            <v>391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A15" t="str">
            <v>GRE</v>
          </cell>
          <cell r="B15">
            <v>1395</v>
          </cell>
          <cell r="C15">
            <v>1</v>
          </cell>
          <cell r="D15">
            <v>0</v>
          </cell>
          <cell r="E15">
            <v>1</v>
          </cell>
          <cell r="F15">
            <v>1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1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A16" t="str">
            <v>HAC</v>
          </cell>
          <cell r="B16">
            <v>2113</v>
          </cell>
          <cell r="C16">
            <v>4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  <cell r="H16">
            <v>3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1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A17" t="str">
            <v>HAM</v>
          </cell>
          <cell r="B17">
            <v>1178</v>
          </cell>
          <cell r="C17">
            <v>1</v>
          </cell>
          <cell r="D17">
            <v>0</v>
          </cell>
          <cell r="E17">
            <v>1</v>
          </cell>
          <cell r="F17">
            <v>1</v>
          </cell>
          <cell r="G17">
            <v>0</v>
          </cell>
          <cell r="H17">
            <v>1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0</v>
          </cell>
          <cell r="W17">
            <v>1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A18" t="str">
            <v>HAR</v>
          </cell>
          <cell r="B18">
            <v>524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A19" t="str">
            <v>HAV</v>
          </cell>
          <cell r="B19">
            <v>1309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</row>
        <row r="20">
          <cell r="A20" t="str">
            <v>HAY</v>
          </cell>
          <cell r="B20">
            <v>1863</v>
          </cell>
          <cell r="C20">
            <v>1</v>
          </cell>
          <cell r="D20">
            <v>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21" t="str">
            <v>HIL</v>
          </cell>
          <cell r="B21">
            <v>376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A22" t="str">
            <v>HOU</v>
          </cell>
          <cell r="B22">
            <v>698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A23" t="str">
            <v>ISL</v>
          </cell>
          <cell r="B23">
            <v>1771</v>
          </cell>
          <cell r="C23">
            <v>1</v>
          </cell>
          <cell r="D23">
            <v>0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</row>
        <row r="24">
          <cell r="A24" t="str">
            <v>KEN</v>
          </cell>
          <cell r="B24">
            <v>1605</v>
          </cell>
          <cell r="C24">
            <v>3</v>
          </cell>
          <cell r="D24">
            <v>0</v>
          </cell>
          <cell r="E24">
            <v>3</v>
          </cell>
          <cell r="F24">
            <v>1</v>
          </cell>
          <cell r="G24">
            <v>0</v>
          </cell>
          <cell r="H24">
            <v>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0</v>
          </cell>
          <cell r="W24">
            <v>1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A25" t="str">
            <v>KIN</v>
          </cell>
          <cell r="B25">
            <v>1357</v>
          </cell>
          <cell r="C25">
            <v>2</v>
          </cell>
          <cell r="D25">
            <v>0</v>
          </cell>
          <cell r="E25">
            <v>2</v>
          </cell>
          <cell r="F25">
            <v>2</v>
          </cell>
          <cell r="G25">
            <v>0</v>
          </cell>
          <cell r="H25">
            <v>1</v>
          </cell>
          <cell r="I25">
            <v>0</v>
          </cell>
          <cell r="J25">
            <v>0</v>
          </cell>
          <cell r="K25">
            <v>0</v>
          </cell>
          <cell r="L25">
            <v>1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2</v>
          </cell>
          <cell r="V25">
            <v>0</v>
          </cell>
          <cell r="W25">
            <v>2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</row>
        <row r="26">
          <cell r="A26" t="str">
            <v>LAM</v>
          </cell>
          <cell r="B26">
            <v>1163</v>
          </cell>
          <cell r="C26">
            <v>1</v>
          </cell>
          <cell r="D26">
            <v>0</v>
          </cell>
          <cell r="E26">
            <v>1</v>
          </cell>
          <cell r="F26">
            <v>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1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1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A27" t="str">
            <v>LEW</v>
          </cell>
          <cell r="B27">
            <v>1906</v>
          </cell>
          <cell r="C27">
            <v>2</v>
          </cell>
          <cell r="D27">
            <v>0</v>
          </cell>
          <cell r="E27">
            <v>2</v>
          </cell>
          <cell r="F27">
            <v>1</v>
          </cell>
          <cell r="G27">
            <v>0</v>
          </cell>
          <cell r="H27">
            <v>1</v>
          </cell>
          <cell r="I27">
            <v>0</v>
          </cell>
          <cell r="J27">
            <v>0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0</v>
          </cell>
          <cell r="W27">
            <v>1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A28" t="str">
            <v>LON</v>
          </cell>
          <cell r="B28">
            <v>51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A29" t="str">
            <v>MER</v>
          </cell>
          <cell r="B29">
            <v>1044</v>
          </cell>
          <cell r="C29">
            <v>2</v>
          </cell>
          <cell r="D29">
            <v>0</v>
          </cell>
          <cell r="E29">
            <v>2</v>
          </cell>
          <cell r="F29">
            <v>1</v>
          </cell>
          <cell r="G29">
            <v>0</v>
          </cell>
          <cell r="H29">
            <v>1</v>
          </cell>
          <cell r="I29">
            <v>0</v>
          </cell>
          <cell r="J29">
            <v>0</v>
          </cell>
          <cell r="K29">
            <v>0</v>
          </cell>
          <cell r="L29">
            <v>1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1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A30" t="str">
            <v>NEW</v>
          </cell>
          <cell r="B30">
            <v>1393</v>
          </cell>
          <cell r="C30">
            <v>1</v>
          </cell>
          <cell r="D30">
            <v>0</v>
          </cell>
          <cell r="E30">
            <v>1</v>
          </cell>
          <cell r="F30">
            <v>1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1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1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A31" t="str">
            <v>RED</v>
          </cell>
          <cell r="B31">
            <v>1108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A32" t="str">
            <v>RIC</v>
          </cell>
          <cell r="B32">
            <v>1041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</row>
        <row r="33">
          <cell r="A33" t="str">
            <v>SOU</v>
          </cell>
          <cell r="B33">
            <v>1593</v>
          </cell>
          <cell r="C33">
            <v>1</v>
          </cell>
          <cell r="D33">
            <v>0</v>
          </cell>
          <cell r="E33">
            <v>1</v>
          </cell>
          <cell r="F33">
            <v>0</v>
          </cell>
          <cell r="G33">
            <v>0</v>
          </cell>
          <cell r="H33">
            <v>1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A34" t="str">
            <v>SUT</v>
          </cell>
          <cell r="B34">
            <v>738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</row>
        <row r="35">
          <cell r="A35" t="str">
            <v>TOW</v>
          </cell>
          <cell r="B35">
            <v>1370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</row>
        <row r="36">
          <cell r="A36" t="str">
            <v>WAL</v>
          </cell>
          <cell r="B36">
            <v>447</v>
          </cell>
          <cell r="C36">
            <v>2</v>
          </cell>
          <cell r="D36">
            <v>1</v>
          </cell>
          <cell r="E36">
            <v>1</v>
          </cell>
          <cell r="F36">
            <v>0</v>
          </cell>
          <cell r="G36">
            <v>0</v>
          </cell>
          <cell r="H36">
            <v>1</v>
          </cell>
          <cell r="I36">
            <v>0</v>
          </cell>
          <cell r="J36">
            <v>1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A37" t="str">
            <v>WAN</v>
          </cell>
          <cell r="B37">
            <v>793</v>
          </cell>
          <cell r="C37">
            <v>3</v>
          </cell>
          <cell r="D37">
            <v>1</v>
          </cell>
          <cell r="E37">
            <v>2</v>
          </cell>
          <cell r="F37">
            <v>3</v>
          </cell>
          <cell r="G37">
            <v>1</v>
          </cell>
          <cell r="H37">
            <v>2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3</v>
          </cell>
          <cell r="V37">
            <v>1</v>
          </cell>
          <cell r="W37">
            <v>2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WES</v>
          </cell>
          <cell r="B38">
            <v>1509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A39" t="str">
            <v>TOTAL</v>
          </cell>
          <cell r="B39">
            <v>36090</v>
          </cell>
          <cell r="C39">
            <v>31</v>
          </cell>
          <cell r="D39">
            <v>5</v>
          </cell>
          <cell r="E39">
            <v>26</v>
          </cell>
          <cell r="F39">
            <v>17</v>
          </cell>
          <cell r="G39">
            <v>2</v>
          </cell>
          <cell r="H39">
            <v>15</v>
          </cell>
          <cell r="I39">
            <v>0</v>
          </cell>
          <cell r="J39">
            <v>3</v>
          </cell>
          <cell r="K39">
            <v>2</v>
          </cell>
          <cell r="L39">
            <v>5</v>
          </cell>
          <cell r="M39">
            <v>2</v>
          </cell>
          <cell r="N39">
            <v>0</v>
          </cell>
          <cell r="O39">
            <v>2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16</v>
          </cell>
          <cell r="V39">
            <v>2</v>
          </cell>
          <cell r="W39">
            <v>7</v>
          </cell>
          <cell r="X39">
            <v>0</v>
          </cell>
          <cell r="Y39">
            <v>0</v>
          </cell>
          <cell r="Z39">
            <v>0</v>
          </cell>
          <cell r="AA39">
            <v>3</v>
          </cell>
          <cell r="AB39">
            <v>2</v>
          </cell>
          <cell r="AC39">
            <v>2</v>
          </cell>
          <cell r="AD39">
            <v>0</v>
          </cell>
          <cell r="AE39">
            <v>1</v>
          </cell>
          <cell r="AF39">
            <v>1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</sheetData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</row>
      </sheetData>
      <sheetData sheetId="1">
        <row r="2">
          <cell r="A2" t="str">
            <v>BND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  <cell r="C4" t="str">
            <v>Total Queries &amp; Complaints Received</v>
          </cell>
          <cell r="D4" t="str">
            <v xml:space="preserve">Queries </v>
          </cell>
          <cell r="E4" t="str">
            <v xml:space="preserve">Complaints </v>
          </cell>
          <cell r="F4" t="str">
            <v>Complaints Upheld out of complaints</v>
          </cell>
          <cell r="G4" t="str">
            <v xml:space="preserve">Breakdown of Total Queries &amp; Complaints </v>
          </cell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 t="str">
            <v>Breakdown of Complaints Upheld</v>
          </cell>
          <cell r="V4"/>
          <cell r="W4"/>
          <cell r="X4"/>
          <cell r="Y4"/>
          <cell r="Z4"/>
          <cell r="AA4"/>
          <cell r="AB4"/>
          <cell r="AC4"/>
          <cell r="AD4"/>
          <cell r="AE4"/>
          <cell r="AF4"/>
          <cell r="AG4"/>
          <cell r="AH4"/>
          <cell r="AI4"/>
          <cell r="AJ4"/>
        </row>
        <row r="5">
          <cell r="A5" t="str">
            <v>Borough</v>
          </cell>
          <cell r="B5"/>
          <cell r="C5"/>
          <cell r="D5"/>
          <cell r="E5"/>
          <cell r="F5"/>
          <cell r="G5" t="str">
            <v>Booking Error</v>
          </cell>
          <cell r="H5" t="str">
            <v>Driver  (Rude/Abusive/Un-helpful/etc.)</v>
          </cell>
          <cell r="I5" t="str">
            <v>Early Vehicle</v>
          </cell>
          <cell r="J5" t="str">
            <v>Fare Query</v>
          </cell>
          <cell r="K5" t="str">
            <v xml:space="preserve">Late Taxi </v>
          </cell>
          <cell r="L5" t="str">
            <v xml:space="preserve">No Taxi </v>
          </cell>
          <cell r="M5" t="str">
            <v>Operator Issue</v>
          </cell>
          <cell r="N5" t="str">
            <v>Phone (Answering, Response)</v>
          </cell>
          <cell r="O5" t="str">
            <v>PHV (Late/No Show/Driver/etc)</v>
          </cell>
          <cell r="P5" t="str">
            <v>Ringback</v>
          </cell>
          <cell r="Q5" t="str">
            <v>Run-In too high</v>
          </cell>
          <cell r="R5" t="str">
            <v>System/Gazetteer Problem</v>
          </cell>
          <cell r="S5" t="str">
            <v>Taxi arrived at incorrect Location</v>
          </cell>
          <cell r="T5" t="str">
            <v>Waiting time charge query</v>
          </cell>
          <cell r="U5" t="str">
            <v>Total Taxi</v>
          </cell>
          <cell r="V5" t="str">
            <v>Booking Error</v>
          </cell>
          <cell r="W5" t="str">
            <v>Driver  (Rude/Abusive/Un-helpful/etc.)</v>
          </cell>
          <cell r="X5" t="str">
            <v>Early Vehicle</v>
          </cell>
          <cell r="Y5" t="str">
            <v>Fare/Run-In/Waiting Time Charge Query</v>
          </cell>
          <cell r="Z5" t="str">
            <v>Gazetteer/IT/System Issue</v>
          </cell>
          <cell r="AA5" t="str">
            <v>Late Vehicle</v>
          </cell>
          <cell r="AB5" t="str">
            <v>No Vehicle</v>
          </cell>
          <cell r="AC5" t="str">
            <v>Operator Issue (Rude/Abusive/Un-helpful/etc.)</v>
          </cell>
          <cell r="AD5" t="str">
            <v>Phone/Ringback Issue</v>
          </cell>
          <cell r="AE5" t="str">
            <v>Total PHV</v>
          </cell>
          <cell r="AF5" t="str">
            <v>PHV Driver</v>
          </cell>
          <cell r="AG5" t="str">
            <v>PHV Fare</v>
          </cell>
          <cell r="AH5" t="str">
            <v>PHV Late/No</v>
          </cell>
          <cell r="AI5" t="str">
            <v>PHV Operator</v>
          </cell>
          <cell r="AJ5" t="str">
            <v>PHV System</v>
          </cell>
        </row>
        <row r="6">
          <cell r="A6" t="str">
            <v>BAR</v>
          </cell>
          <cell r="B6">
            <v>757</v>
          </cell>
          <cell r="C6">
            <v>1</v>
          </cell>
          <cell r="D6">
            <v>0</v>
          </cell>
          <cell r="E6">
            <v>1</v>
          </cell>
          <cell r="F6">
            <v>1</v>
          </cell>
          <cell r="G6">
            <v>0</v>
          </cell>
          <cell r="H6">
            <v>1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1</v>
          </cell>
          <cell r="V6">
            <v>0</v>
          </cell>
          <cell r="W6">
            <v>1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A7" t="str">
            <v>BEX</v>
          </cell>
          <cell r="B7">
            <v>459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A8" t="str">
            <v>BND</v>
          </cell>
          <cell r="B8">
            <v>867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A9" t="str">
            <v>BRE</v>
          </cell>
          <cell r="B9">
            <v>1323</v>
          </cell>
          <cell r="C9">
            <v>1</v>
          </cell>
          <cell r="D9">
            <v>0</v>
          </cell>
          <cell r="E9">
            <v>1</v>
          </cell>
          <cell r="F9">
            <v>1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1</v>
          </cell>
          <cell r="AF9">
            <v>0</v>
          </cell>
          <cell r="AG9">
            <v>1</v>
          </cell>
          <cell r="AH9">
            <v>0</v>
          </cell>
          <cell r="AI9">
            <v>0</v>
          </cell>
          <cell r="AJ9">
            <v>0</v>
          </cell>
        </row>
        <row r="10">
          <cell r="A10" t="str">
            <v>BRO</v>
          </cell>
          <cell r="B10">
            <v>615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A11" t="str">
            <v>CAM</v>
          </cell>
          <cell r="B11">
            <v>2619</v>
          </cell>
          <cell r="C11">
            <v>2</v>
          </cell>
          <cell r="D11">
            <v>0</v>
          </cell>
          <cell r="E11">
            <v>2</v>
          </cell>
          <cell r="F11">
            <v>1</v>
          </cell>
          <cell r="G11">
            <v>0</v>
          </cell>
          <cell r="H11">
            <v>2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1</v>
          </cell>
          <cell r="V11">
            <v>0</v>
          </cell>
          <cell r="W11">
            <v>1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A12" t="str">
            <v>CRO</v>
          </cell>
          <cell r="B12">
            <v>976</v>
          </cell>
          <cell r="C12">
            <v>1</v>
          </cell>
          <cell r="D12">
            <v>0</v>
          </cell>
          <cell r="E12">
            <v>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A13" t="str">
            <v>EAL</v>
          </cell>
          <cell r="B13">
            <v>931</v>
          </cell>
          <cell r="C13">
            <v>2</v>
          </cell>
          <cell r="D13">
            <v>0</v>
          </cell>
          <cell r="E13">
            <v>2</v>
          </cell>
          <cell r="F13">
            <v>0</v>
          </cell>
          <cell r="G13">
            <v>0</v>
          </cell>
          <cell r="H13">
            <v>2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A14" t="str">
            <v>ENF</v>
          </cell>
          <cell r="B14">
            <v>512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A15" t="str">
            <v>GRE</v>
          </cell>
          <cell r="B15">
            <v>1674</v>
          </cell>
          <cell r="C15">
            <v>2</v>
          </cell>
          <cell r="D15">
            <v>1</v>
          </cell>
          <cell r="E15">
            <v>1</v>
          </cell>
          <cell r="F15">
            <v>2</v>
          </cell>
          <cell r="G15">
            <v>1</v>
          </cell>
          <cell r="H15">
            <v>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2</v>
          </cell>
          <cell r="V15">
            <v>1</v>
          </cell>
          <cell r="W15">
            <v>1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A16" t="str">
            <v>HAC</v>
          </cell>
          <cell r="B16">
            <v>2394</v>
          </cell>
          <cell r="C16">
            <v>3</v>
          </cell>
          <cell r="D16">
            <v>0</v>
          </cell>
          <cell r="E16">
            <v>3</v>
          </cell>
          <cell r="F16">
            <v>0</v>
          </cell>
          <cell r="G16">
            <v>0</v>
          </cell>
          <cell r="H16">
            <v>1</v>
          </cell>
          <cell r="I16">
            <v>0</v>
          </cell>
          <cell r="J16">
            <v>0</v>
          </cell>
          <cell r="K16">
            <v>0</v>
          </cell>
          <cell r="L16">
            <v>1</v>
          </cell>
          <cell r="M16">
            <v>0</v>
          </cell>
          <cell r="N16">
            <v>0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A17" t="str">
            <v>HAM</v>
          </cell>
          <cell r="B17">
            <v>1453</v>
          </cell>
          <cell r="C17">
            <v>4</v>
          </cell>
          <cell r="D17">
            <v>2</v>
          </cell>
          <cell r="E17">
            <v>2</v>
          </cell>
          <cell r="F17">
            <v>2</v>
          </cell>
          <cell r="G17">
            <v>0</v>
          </cell>
          <cell r="H17">
            <v>2</v>
          </cell>
          <cell r="I17">
            <v>0</v>
          </cell>
          <cell r="J17">
            <v>1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1</v>
          </cell>
          <cell r="T17">
            <v>0</v>
          </cell>
          <cell r="U17">
            <v>2</v>
          </cell>
          <cell r="V17">
            <v>0</v>
          </cell>
          <cell r="W17">
            <v>1</v>
          </cell>
          <cell r="X17">
            <v>0</v>
          </cell>
          <cell r="Y17">
            <v>0</v>
          </cell>
          <cell r="Z17">
            <v>1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A18" t="str">
            <v>HAR</v>
          </cell>
          <cell r="B18">
            <v>724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A19" t="str">
            <v>HAV</v>
          </cell>
          <cell r="B19">
            <v>1581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</row>
        <row r="20">
          <cell r="A20" t="str">
            <v>HAY</v>
          </cell>
          <cell r="B20">
            <v>2146</v>
          </cell>
          <cell r="C20">
            <v>3</v>
          </cell>
          <cell r="D20">
            <v>2</v>
          </cell>
          <cell r="E20">
            <v>1</v>
          </cell>
          <cell r="F20">
            <v>1</v>
          </cell>
          <cell r="G20">
            <v>0</v>
          </cell>
          <cell r="H20">
            <v>1</v>
          </cell>
          <cell r="I20">
            <v>1</v>
          </cell>
          <cell r="J20">
            <v>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0</v>
          </cell>
          <cell r="W20">
            <v>1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21" t="str">
            <v>HIL</v>
          </cell>
          <cell r="B21">
            <v>500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A22" t="str">
            <v>HOU</v>
          </cell>
          <cell r="B22">
            <v>846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A23" t="str">
            <v>ISL</v>
          </cell>
          <cell r="B23">
            <v>2007</v>
          </cell>
          <cell r="C23">
            <v>5</v>
          </cell>
          <cell r="D23">
            <v>1</v>
          </cell>
          <cell r="E23">
            <v>4</v>
          </cell>
          <cell r="F23">
            <v>4</v>
          </cell>
          <cell r="G23">
            <v>0</v>
          </cell>
          <cell r="H23">
            <v>3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1</v>
          </cell>
          <cell r="U23">
            <v>4</v>
          </cell>
          <cell r="V23">
            <v>1</v>
          </cell>
          <cell r="W23">
            <v>3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</row>
        <row r="24">
          <cell r="A24" t="str">
            <v>KEN</v>
          </cell>
          <cell r="B24">
            <v>1758</v>
          </cell>
          <cell r="C24">
            <v>1</v>
          </cell>
          <cell r="D24">
            <v>0</v>
          </cell>
          <cell r="E24">
            <v>1</v>
          </cell>
          <cell r="F24">
            <v>0</v>
          </cell>
          <cell r="G24">
            <v>0</v>
          </cell>
          <cell r="H24">
            <v>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A25" t="str">
            <v>KIN</v>
          </cell>
          <cell r="B25">
            <v>1673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</row>
        <row r="26">
          <cell r="A26" t="str">
            <v>LAM</v>
          </cell>
          <cell r="B26">
            <v>1389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A27" t="str">
            <v>LEW</v>
          </cell>
          <cell r="B27">
            <v>2139</v>
          </cell>
          <cell r="C27">
            <v>2</v>
          </cell>
          <cell r="D27">
            <v>1</v>
          </cell>
          <cell r="E27">
            <v>1</v>
          </cell>
          <cell r="F27">
            <v>1</v>
          </cell>
          <cell r="G27">
            <v>0</v>
          </cell>
          <cell r="H27">
            <v>0</v>
          </cell>
          <cell r="I27">
            <v>0</v>
          </cell>
          <cell r="J27">
            <v>1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1</v>
          </cell>
          <cell r="AF27">
            <v>1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A28" t="str">
            <v>LON</v>
          </cell>
          <cell r="B28">
            <v>49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A29" t="str">
            <v>MER</v>
          </cell>
          <cell r="B29">
            <v>1269</v>
          </cell>
          <cell r="C29">
            <v>1</v>
          </cell>
          <cell r="D29">
            <v>0</v>
          </cell>
          <cell r="E29">
            <v>1</v>
          </cell>
          <cell r="F29">
            <v>1</v>
          </cell>
          <cell r="G29">
            <v>0</v>
          </cell>
          <cell r="H29">
            <v>1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</v>
          </cell>
          <cell r="V29">
            <v>0</v>
          </cell>
          <cell r="W29">
            <v>1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A30" t="str">
            <v>NEW</v>
          </cell>
          <cell r="B30">
            <v>1746</v>
          </cell>
          <cell r="C30">
            <v>1</v>
          </cell>
          <cell r="D30">
            <v>0</v>
          </cell>
          <cell r="E30">
            <v>1</v>
          </cell>
          <cell r="F30">
            <v>1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1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A31" t="str">
            <v>RED</v>
          </cell>
          <cell r="B31">
            <v>1732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A32" t="str">
            <v>RIC</v>
          </cell>
          <cell r="B32">
            <v>1120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</row>
        <row r="33">
          <cell r="A33" t="str">
            <v>SOU</v>
          </cell>
          <cell r="B33">
            <v>2006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A34" t="str">
            <v>SUT</v>
          </cell>
          <cell r="B34">
            <v>853</v>
          </cell>
          <cell r="C34">
            <v>2</v>
          </cell>
          <cell r="D34">
            <v>0</v>
          </cell>
          <cell r="E34">
            <v>2</v>
          </cell>
          <cell r="F34">
            <v>1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1</v>
          </cell>
          <cell r="M34">
            <v>0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1</v>
          </cell>
          <cell r="AF34">
            <v>0</v>
          </cell>
          <cell r="AG34">
            <v>0</v>
          </cell>
          <cell r="AH34">
            <v>1</v>
          </cell>
          <cell r="AI34">
            <v>0</v>
          </cell>
          <cell r="AJ34">
            <v>0</v>
          </cell>
        </row>
        <row r="35">
          <cell r="A35" t="str">
            <v>TOW</v>
          </cell>
          <cell r="B35">
            <v>1739</v>
          </cell>
          <cell r="C35">
            <v>2</v>
          </cell>
          <cell r="D35">
            <v>1</v>
          </cell>
          <cell r="E35">
            <v>1</v>
          </cell>
          <cell r="F35">
            <v>0</v>
          </cell>
          <cell r="G35">
            <v>0</v>
          </cell>
          <cell r="H35">
            <v>1</v>
          </cell>
          <cell r="I35">
            <v>0</v>
          </cell>
          <cell r="J35">
            <v>1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</row>
        <row r="36">
          <cell r="A36" t="str">
            <v>WAL</v>
          </cell>
          <cell r="B36">
            <v>544</v>
          </cell>
          <cell r="C36">
            <v>2</v>
          </cell>
          <cell r="D36">
            <v>0</v>
          </cell>
          <cell r="E36">
            <v>2</v>
          </cell>
          <cell r="F36">
            <v>1</v>
          </cell>
          <cell r="G36">
            <v>0</v>
          </cell>
          <cell r="H36">
            <v>1</v>
          </cell>
          <cell r="I36">
            <v>0</v>
          </cell>
          <cell r="J36">
            <v>0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1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1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A37" t="str">
            <v>WAN</v>
          </cell>
          <cell r="B37">
            <v>887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WES</v>
          </cell>
          <cell r="B38">
            <v>1667</v>
          </cell>
          <cell r="C38">
            <v>1</v>
          </cell>
          <cell r="D38">
            <v>0</v>
          </cell>
          <cell r="E38">
            <v>1</v>
          </cell>
          <cell r="F38">
            <v>0</v>
          </cell>
          <cell r="G38">
            <v>0</v>
          </cell>
          <cell r="H38">
            <v>1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A39" t="str">
            <v>TOTAL</v>
          </cell>
          <cell r="B39">
            <v>42955</v>
          </cell>
          <cell r="C39">
            <v>36</v>
          </cell>
          <cell r="D39">
            <v>8</v>
          </cell>
          <cell r="E39">
            <v>28</v>
          </cell>
          <cell r="F39">
            <v>17</v>
          </cell>
          <cell r="G39">
            <v>1</v>
          </cell>
          <cell r="H39">
            <v>18</v>
          </cell>
          <cell r="I39">
            <v>1</v>
          </cell>
          <cell r="J39">
            <v>4</v>
          </cell>
          <cell r="K39">
            <v>2</v>
          </cell>
          <cell r="L39">
            <v>2</v>
          </cell>
          <cell r="M39">
            <v>1</v>
          </cell>
          <cell r="N39">
            <v>0</v>
          </cell>
          <cell r="O39">
            <v>5</v>
          </cell>
          <cell r="P39">
            <v>0</v>
          </cell>
          <cell r="Q39">
            <v>0</v>
          </cell>
          <cell r="R39">
            <v>0</v>
          </cell>
          <cell r="S39">
            <v>1</v>
          </cell>
          <cell r="T39">
            <v>1</v>
          </cell>
          <cell r="U39">
            <v>14</v>
          </cell>
          <cell r="V39">
            <v>3</v>
          </cell>
          <cell r="W39">
            <v>9</v>
          </cell>
          <cell r="X39">
            <v>0</v>
          </cell>
          <cell r="Y39">
            <v>0</v>
          </cell>
          <cell r="Z39">
            <v>1</v>
          </cell>
          <cell r="AA39">
            <v>1</v>
          </cell>
          <cell r="AB39">
            <v>0</v>
          </cell>
          <cell r="AC39">
            <v>0</v>
          </cell>
          <cell r="AD39">
            <v>0</v>
          </cell>
          <cell r="AE39">
            <v>3</v>
          </cell>
          <cell r="AF39">
            <v>1</v>
          </cell>
          <cell r="AG39">
            <v>1</v>
          </cell>
          <cell r="AH39">
            <v>1</v>
          </cell>
          <cell r="AI39">
            <v>0</v>
          </cell>
          <cell r="AJ39">
            <v>0</v>
          </cell>
        </row>
      </sheetData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</row>
      </sheetData>
      <sheetData sheetId="1">
        <row r="2">
          <cell r="A2" t="str">
            <v>BND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  <cell r="C4" t="str">
            <v>Total Queries &amp; Complaints Received</v>
          </cell>
          <cell r="D4" t="str">
            <v xml:space="preserve">Queries </v>
          </cell>
          <cell r="E4" t="str">
            <v xml:space="preserve">Complaints </v>
          </cell>
          <cell r="F4" t="str">
            <v>Complaints Upheld out of complaints</v>
          </cell>
          <cell r="G4" t="str">
            <v xml:space="preserve">Breakdown of Total Queries &amp; Complaints </v>
          </cell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 t="str">
            <v>Breakdown of Complaints Upheld</v>
          </cell>
          <cell r="V4"/>
          <cell r="W4"/>
          <cell r="X4"/>
          <cell r="Y4"/>
          <cell r="Z4"/>
          <cell r="AA4"/>
          <cell r="AB4"/>
          <cell r="AC4"/>
          <cell r="AD4"/>
          <cell r="AE4"/>
          <cell r="AF4"/>
          <cell r="AG4"/>
          <cell r="AH4"/>
          <cell r="AI4"/>
          <cell r="AJ4"/>
        </row>
        <row r="5">
          <cell r="A5" t="str">
            <v>Borough</v>
          </cell>
          <cell r="B5"/>
          <cell r="C5"/>
          <cell r="D5"/>
          <cell r="E5"/>
          <cell r="F5"/>
          <cell r="G5" t="str">
            <v>Booking Error</v>
          </cell>
          <cell r="H5" t="str">
            <v>Driver  (Rude/Abusive/Un-helpful/etc.)</v>
          </cell>
          <cell r="I5" t="str">
            <v>Early Vehicle</v>
          </cell>
          <cell r="J5" t="str">
            <v>Fare Query</v>
          </cell>
          <cell r="K5" t="str">
            <v xml:space="preserve">Late Taxi </v>
          </cell>
          <cell r="L5" t="str">
            <v xml:space="preserve">No Taxi </v>
          </cell>
          <cell r="M5" t="str">
            <v>Operator Issue</v>
          </cell>
          <cell r="N5" t="str">
            <v>Phone (Answering, Response)</v>
          </cell>
          <cell r="O5" t="str">
            <v>PHV (Late/No Show/Driver/etc)</v>
          </cell>
          <cell r="P5" t="str">
            <v>Ringback</v>
          </cell>
          <cell r="Q5" t="str">
            <v>Run-In too high</v>
          </cell>
          <cell r="R5" t="str">
            <v>System/Gazetteer Problem</v>
          </cell>
          <cell r="S5" t="str">
            <v>Taxi arrived at incorrect Location</v>
          </cell>
          <cell r="T5" t="str">
            <v>Waiting time charge query</v>
          </cell>
          <cell r="U5" t="str">
            <v>Total Taxi</v>
          </cell>
          <cell r="V5" t="str">
            <v>Booking Error</v>
          </cell>
          <cell r="W5" t="str">
            <v>Driver  (Rude/Abusive/Un-helpful/etc.)</v>
          </cell>
          <cell r="X5" t="str">
            <v>Early Vehicle</v>
          </cell>
          <cell r="Y5" t="str">
            <v>Fare/Run-In/Waiting Time Charge Query</v>
          </cell>
          <cell r="Z5" t="str">
            <v>Gazetteer/IT/System Issue</v>
          </cell>
          <cell r="AA5" t="str">
            <v>Late Vehicle</v>
          </cell>
          <cell r="AB5" t="str">
            <v>No Vehicle</v>
          </cell>
          <cell r="AC5" t="str">
            <v>Operator Issue (Rude/Abusive/Un-helpful/etc.)</v>
          </cell>
          <cell r="AD5" t="str">
            <v>Phone/Ringback Issue</v>
          </cell>
          <cell r="AE5" t="str">
            <v>Total PHV</v>
          </cell>
          <cell r="AF5" t="str">
            <v>PHV Driver</v>
          </cell>
          <cell r="AG5" t="str">
            <v>PHV Fare</v>
          </cell>
          <cell r="AH5" t="str">
            <v>PHV Late/No</v>
          </cell>
          <cell r="AI5" t="str">
            <v>PHV Operator</v>
          </cell>
          <cell r="AJ5" t="str">
            <v>PHV System</v>
          </cell>
        </row>
        <row r="6">
          <cell r="A6" t="str">
            <v>BAR</v>
          </cell>
          <cell r="B6">
            <v>936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A7" t="str">
            <v>BEX</v>
          </cell>
          <cell r="B7">
            <v>519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A8" t="str">
            <v>BND</v>
          </cell>
          <cell r="B8">
            <v>1018</v>
          </cell>
          <cell r="C8">
            <v>1</v>
          </cell>
          <cell r="D8">
            <v>0</v>
          </cell>
          <cell r="E8">
            <v>1</v>
          </cell>
          <cell r="F8">
            <v>1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1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A9" t="str">
            <v>BRE</v>
          </cell>
          <cell r="B9">
            <v>1567</v>
          </cell>
          <cell r="C9">
            <v>4</v>
          </cell>
          <cell r="D9">
            <v>3</v>
          </cell>
          <cell r="E9">
            <v>1</v>
          </cell>
          <cell r="F9">
            <v>1</v>
          </cell>
          <cell r="G9">
            <v>0</v>
          </cell>
          <cell r="H9">
            <v>1</v>
          </cell>
          <cell r="I9">
            <v>3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2</v>
          </cell>
          <cell r="V9">
            <v>0</v>
          </cell>
          <cell r="W9">
            <v>1</v>
          </cell>
          <cell r="X9">
            <v>0</v>
          </cell>
          <cell r="Y9">
            <v>1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A10" t="str">
            <v>BRO</v>
          </cell>
          <cell r="B10">
            <v>739</v>
          </cell>
          <cell r="C10">
            <v>1</v>
          </cell>
          <cell r="D10">
            <v>0</v>
          </cell>
          <cell r="E10">
            <v>1</v>
          </cell>
          <cell r="F10">
            <v>1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1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1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1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A11" t="str">
            <v>CAM</v>
          </cell>
          <cell r="B11">
            <v>2823</v>
          </cell>
          <cell r="C11">
            <v>5</v>
          </cell>
          <cell r="D11">
            <v>1</v>
          </cell>
          <cell r="E11">
            <v>4</v>
          </cell>
          <cell r="F11">
            <v>2</v>
          </cell>
          <cell r="G11">
            <v>0</v>
          </cell>
          <cell r="H11">
            <v>3</v>
          </cell>
          <cell r="I11">
            <v>1</v>
          </cell>
          <cell r="J11">
            <v>0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</v>
          </cell>
          <cell r="V11">
            <v>0</v>
          </cell>
          <cell r="W11">
            <v>0</v>
          </cell>
          <cell r="X11">
            <v>0</v>
          </cell>
          <cell r="Y11">
            <v>1</v>
          </cell>
          <cell r="Z11">
            <v>0</v>
          </cell>
          <cell r="AA11">
            <v>0</v>
          </cell>
          <cell r="AB11">
            <v>0</v>
          </cell>
          <cell r="AC11">
            <v>1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A12" t="str">
            <v>CRO</v>
          </cell>
          <cell r="B12">
            <v>1154</v>
          </cell>
          <cell r="C12">
            <v>2</v>
          </cell>
          <cell r="D12">
            <v>1</v>
          </cell>
          <cell r="E12">
            <v>1</v>
          </cell>
          <cell r="F12">
            <v>1</v>
          </cell>
          <cell r="G12">
            <v>0</v>
          </cell>
          <cell r="H12">
            <v>0</v>
          </cell>
          <cell r="I12">
            <v>0</v>
          </cell>
          <cell r="J12">
            <v>1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2</v>
          </cell>
          <cell r="V12">
            <v>0</v>
          </cell>
          <cell r="W12">
            <v>0</v>
          </cell>
          <cell r="X12">
            <v>0</v>
          </cell>
          <cell r="Y12">
            <v>1</v>
          </cell>
          <cell r="Z12">
            <v>0</v>
          </cell>
          <cell r="AA12">
            <v>1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A13" t="str">
            <v>EAL</v>
          </cell>
          <cell r="B13">
            <v>1179</v>
          </cell>
          <cell r="C13">
            <v>3</v>
          </cell>
          <cell r="D13">
            <v>1</v>
          </cell>
          <cell r="E13">
            <v>2</v>
          </cell>
          <cell r="F13">
            <v>1</v>
          </cell>
          <cell r="G13">
            <v>0</v>
          </cell>
          <cell r="H13">
            <v>2</v>
          </cell>
          <cell r="I13">
            <v>1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0</v>
          </cell>
          <cell r="W13">
            <v>1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A14" t="str">
            <v>ENF</v>
          </cell>
          <cell r="B14">
            <v>627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A15" t="str">
            <v>GRE</v>
          </cell>
          <cell r="B15">
            <v>1941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A16" t="str">
            <v>HAC</v>
          </cell>
          <cell r="B16">
            <v>2528</v>
          </cell>
          <cell r="C16">
            <v>1</v>
          </cell>
          <cell r="D16">
            <v>0</v>
          </cell>
          <cell r="E16">
            <v>1</v>
          </cell>
          <cell r="F16">
            <v>1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1</v>
          </cell>
          <cell r="AF16">
            <v>0</v>
          </cell>
          <cell r="AG16">
            <v>0</v>
          </cell>
          <cell r="AH16">
            <v>0</v>
          </cell>
          <cell r="AI16">
            <v>1</v>
          </cell>
          <cell r="AJ16">
            <v>0</v>
          </cell>
        </row>
        <row r="17">
          <cell r="A17" t="str">
            <v>HAM</v>
          </cell>
          <cell r="B17">
            <v>1398</v>
          </cell>
          <cell r="C17">
            <v>1</v>
          </cell>
          <cell r="D17">
            <v>0</v>
          </cell>
          <cell r="E17">
            <v>1</v>
          </cell>
          <cell r="F17">
            <v>1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1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A18" t="str">
            <v>HAR</v>
          </cell>
          <cell r="B18">
            <v>982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A19" t="str">
            <v>HAV</v>
          </cell>
          <cell r="B19">
            <v>1875</v>
          </cell>
          <cell r="C19">
            <v>2</v>
          </cell>
          <cell r="D19">
            <v>0</v>
          </cell>
          <cell r="E19">
            <v>2</v>
          </cell>
          <cell r="F19">
            <v>1</v>
          </cell>
          <cell r="G19">
            <v>0</v>
          </cell>
          <cell r="H19">
            <v>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0</v>
          </cell>
          <cell r="W19">
            <v>1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</row>
        <row r="20">
          <cell r="A20" t="str">
            <v>HAY</v>
          </cell>
          <cell r="B20">
            <v>2280</v>
          </cell>
          <cell r="C20">
            <v>1</v>
          </cell>
          <cell r="D20">
            <v>0</v>
          </cell>
          <cell r="E20">
            <v>1</v>
          </cell>
          <cell r="F20">
            <v>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1</v>
          </cell>
          <cell r="AF20">
            <v>0</v>
          </cell>
          <cell r="AG20">
            <v>0</v>
          </cell>
          <cell r="AH20">
            <v>1</v>
          </cell>
          <cell r="AI20">
            <v>0</v>
          </cell>
          <cell r="AJ20">
            <v>0</v>
          </cell>
        </row>
        <row r="21">
          <cell r="A21" t="str">
            <v>HIL</v>
          </cell>
          <cell r="B21">
            <v>568</v>
          </cell>
          <cell r="C21">
            <v>2</v>
          </cell>
          <cell r="D21">
            <v>0</v>
          </cell>
          <cell r="E21">
            <v>2</v>
          </cell>
          <cell r="F21">
            <v>2</v>
          </cell>
          <cell r="G21">
            <v>0</v>
          </cell>
          <cell r="H21">
            <v>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0</v>
          </cell>
          <cell r="W21">
            <v>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1</v>
          </cell>
          <cell r="AF21">
            <v>1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A22" t="str">
            <v>HOU</v>
          </cell>
          <cell r="B22">
            <v>954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A23" t="str">
            <v>ISL</v>
          </cell>
          <cell r="B23">
            <v>2145</v>
          </cell>
          <cell r="C23">
            <v>3</v>
          </cell>
          <cell r="D23">
            <v>3</v>
          </cell>
          <cell r="E23">
            <v>0</v>
          </cell>
          <cell r="F23">
            <v>0</v>
          </cell>
          <cell r="G23">
            <v>2</v>
          </cell>
          <cell r="H23">
            <v>0</v>
          </cell>
          <cell r="I23">
            <v>1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3</v>
          </cell>
          <cell r="V23">
            <v>2</v>
          </cell>
          <cell r="W23">
            <v>0</v>
          </cell>
          <cell r="X23">
            <v>0</v>
          </cell>
          <cell r="Y23">
            <v>1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</row>
        <row r="24">
          <cell r="A24" t="str">
            <v>KEN</v>
          </cell>
          <cell r="B24">
            <v>2028</v>
          </cell>
          <cell r="C24">
            <v>2</v>
          </cell>
          <cell r="D24">
            <v>0</v>
          </cell>
          <cell r="E24">
            <v>2</v>
          </cell>
          <cell r="F24">
            <v>1</v>
          </cell>
          <cell r="G24">
            <v>0</v>
          </cell>
          <cell r="H24">
            <v>2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0</v>
          </cell>
          <cell r="W24">
            <v>1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A25" t="str">
            <v>KIN</v>
          </cell>
          <cell r="B25">
            <v>1953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</row>
        <row r="26">
          <cell r="A26" t="str">
            <v>LAM</v>
          </cell>
          <cell r="B26">
            <v>1686</v>
          </cell>
          <cell r="C26">
            <v>2</v>
          </cell>
          <cell r="D26">
            <v>0</v>
          </cell>
          <cell r="E26">
            <v>2</v>
          </cell>
          <cell r="F26">
            <v>1</v>
          </cell>
          <cell r="G26">
            <v>0</v>
          </cell>
          <cell r="H26">
            <v>1</v>
          </cell>
          <cell r="I26">
            <v>0</v>
          </cell>
          <cell r="J26">
            <v>0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1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A27" t="str">
            <v>LEW</v>
          </cell>
          <cell r="B27">
            <v>2241</v>
          </cell>
          <cell r="C27">
            <v>1</v>
          </cell>
          <cell r="D27">
            <v>0</v>
          </cell>
          <cell r="E27">
            <v>1</v>
          </cell>
          <cell r="F27">
            <v>1</v>
          </cell>
          <cell r="G27">
            <v>0</v>
          </cell>
          <cell r="H27">
            <v>1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0</v>
          </cell>
          <cell r="W27">
            <v>1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A28" t="str">
            <v>LON</v>
          </cell>
          <cell r="B28">
            <v>63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A29" t="str">
            <v>MER</v>
          </cell>
          <cell r="B29">
            <v>1377</v>
          </cell>
          <cell r="C29">
            <v>1</v>
          </cell>
          <cell r="D29">
            <v>0</v>
          </cell>
          <cell r="E29">
            <v>1</v>
          </cell>
          <cell r="F29">
            <v>1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1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A30" t="str">
            <v>NEW</v>
          </cell>
          <cell r="B30">
            <v>2018</v>
          </cell>
          <cell r="C30">
            <v>1</v>
          </cell>
          <cell r="D30">
            <v>0</v>
          </cell>
          <cell r="E30">
            <v>1</v>
          </cell>
          <cell r="F30">
            <v>1</v>
          </cell>
          <cell r="G30">
            <v>0</v>
          </cell>
          <cell r="H30">
            <v>1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0</v>
          </cell>
          <cell r="W30">
            <v>1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A31" t="str">
            <v>RED</v>
          </cell>
          <cell r="B31">
            <v>2059</v>
          </cell>
          <cell r="C31">
            <v>1</v>
          </cell>
          <cell r="D31">
            <v>1</v>
          </cell>
          <cell r="E31">
            <v>0</v>
          </cell>
          <cell r="F31">
            <v>0</v>
          </cell>
          <cell r="G31">
            <v>1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1</v>
          </cell>
          <cell r="V31">
            <v>1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A32" t="str">
            <v>RIC</v>
          </cell>
          <cell r="B32">
            <v>1236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</row>
        <row r="33">
          <cell r="A33" t="str">
            <v>SOU</v>
          </cell>
          <cell r="B33">
            <v>2244</v>
          </cell>
          <cell r="C33">
            <v>4</v>
          </cell>
          <cell r="D33">
            <v>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4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3</v>
          </cell>
          <cell r="V33">
            <v>0</v>
          </cell>
          <cell r="W33">
            <v>0</v>
          </cell>
          <cell r="X33">
            <v>0</v>
          </cell>
          <cell r="Y33">
            <v>3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A34" t="str">
            <v>SUT</v>
          </cell>
          <cell r="B34">
            <v>969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</row>
        <row r="35">
          <cell r="A35" t="str">
            <v>TOW</v>
          </cell>
          <cell r="B35">
            <v>1786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</row>
        <row r="36">
          <cell r="A36" t="str">
            <v>WAL</v>
          </cell>
          <cell r="B36">
            <v>625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A37" t="str">
            <v>WAN</v>
          </cell>
          <cell r="B37">
            <v>1101</v>
          </cell>
          <cell r="C37">
            <v>1</v>
          </cell>
          <cell r="D37">
            <v>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1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WES</v>
          </cell>
          <cell r="B38">
            <v>1791</v>
          </cell>
          <cell r="C38">
            <v>4</v>
          </cell>
          <cell r="D38">
            <v>0</v>
          </cell>
          <cell r="E38">
            <v>4</v>
          </cell>
          <cell r="F38">
            <v>1</v>
          </cell>
          <cell r="G38">
            <v>0</v>
          </cell>
          <cell r="H38">
            <v>3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1</v>
          </cell>
          <cell r="V38">
            <v>0</v>
          </cell>
          <cell r="W38">
            <v>1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A39" t="str">
            <v>TOTAL</v>
          </cell>
          <cell r="B39">
            <v>48410</v>
          </cell>
          <cell r="C39">
            <v>43</v>
          </cell>
          <cell r="D39">
            <v>15</v>
          </cell>
          <cell r="E39">
            <v>28</v>
          </cell>
          <cell r="F39">
            <v>19</v>
          </cell>
          <cell r="G39">
            <v>3</v>
          </cell>
          <cell r="H39">
            <v>17</v>
          </cell>
          <cell r="I39">
            <v>6</v>
          </cell>
          <cell r="J39">
            <v>6</v>
          </cell>
          <cell r="K39">
            <v>3</v>
          </cell>
          <cell r="L39">
            <v>2</v>
          </cell>
          <cell r="M39">
            <v>3</v>
          </cell>
          <cell r="N39">
            <v>0</v>
          </cell>
          <cell r="O39">
            <v>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26</v>
          </cell>
          <cell r="V39">
            <v>3</v>
          </cell>
          <cell r="W39">
            <v>8</v>
          </cell>
          <cell r="X39">
            <v>0</v>
          </cell>
          <cell r="Y39">
            <v>7</v>
          </cell>
          <cell r="Z39">
            <v>1</v>
          </cell>
          <cell r="AA39">
            <v>1</v>
          </cell>
          <cell r="AB39">
            <v>4</v>
          </cell>
          <cell r="AC39">
            <v>2</v>
          </cell>
          <cell r="AD39">
            <v>0</v>
          </cell>
          <cell r="AE39">
            <v>3</v>
          </cell>
          <cell r="AF39">
            <v>1</v>
          </cell>
          <cell r="AG39">
            <v>0</v>
          </cell>
          <cell r="AH39">
            <v>1</v>
          </cell>
          <cell r="AI39">
            <v>1</v>
          </cell>
          <cell r="AJ39">
            <v>0</v>
          </cell>
        </row>
      </sheetData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</row>
      </sheetData>
      <sheetData sheetId="1">
        <row r="2">
          <cell r="A2" t="str">
            <v>BND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  <cell r="C4" t="str">
            <v>Total Queries &amp; Complaints Received</v>
          </cell>
          <cell r="D4" t="str">
            <v xml:space="preserve">Queries </v>
          </cell>
          <cell r="E4" t="str">
            <v xml:space="preserve">Complaints </v>
          </cell>
          <cell r="F4" t="str">
            <v>Complaints Upheld out of complaints</v>
          </cell>
          <cell r="G4" t="str">
            <v xml:space="preserve">Breakdown of Total Queries &amp; Complaints </v>
          </cell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 t="str">
            <v>Breakdown of Complaints Upheld</v>
          </cell>
          <cell r="V4"/>
          <cell r="W4"/>
          <cell r="X4"/>
          <cell r="Y4"/>
          <cell r="Z4"/>
          <cell r="AA4"/>
          <cell r="AB4"/>
          <cell r="AC4"/>
          <cell r="AD4"/>
          <cell r="AE4"/>
          <cell r="AF4"/>
          <cell r="AG4"/>
          <cell r="AH4"/>
          <cell r="AI4"/>
          <cell r="AJ4"/>
        </row>
        <row r="5">
          <cell r="A5" t="str">
            <v>Borough</v>
          </cell>
          <cell r="B5"/>
          <cell r="C5"/>
          <cell r="D5"/>
          <cell r="E5"/>
          <cell r="F5"/>
          <cell r="G5" t="str">
            <v>Booking Error</v>
          </cell>
          <cell r="H5" t="str">
            <v>Driver  (Rude/Abusive/Un-helpful/etc.)</v>
          </cell>
          <cell r="I5" t="str">
            <v>Early Vehicle</v>
          </cell>
          <cell r="J5" t="str">
            <v>Fare Query</v>
          </cell>
          <cell r="K5" t="str">
            <v xml:space="preserve">Late Taxi </v>
          </cell>
          <cell r="L5" t="str">
            <v xml:space="preserve">No Taxi </v>
          </cell>
          <cell r="M5" t="str">
            <v>Operator Issue</v>
          </cell>
          <cell r="N5" t="str">
            <v>Phone (Answering, Response)</v>
          </cell>
          <cell r="O5" t="str">
            <v>PHV (Late/No Show/Driver/etc)</v>
          </cell>
          <cell r="P5" t="str">
            <v>Ringback</v>
          </cell>
          <cell r="Q5" t="str">
            <v>Run-In too high</v>
          </cell>
          <cell r="R5" t="str">
            <v>System/Gazetteer Problem</v>
          </cell>
          <cell r="S5" t="str">
            <v>Taxi arrived at incorrect Location</v>
          </cell>
          <cell r="T5" t="str">
            <v>Waiting time charge query</v>
          </cell>
          <cell r="U5" t="str">
            <v>Total Taxi</v>
          </cell>
          <cell r="V5" t="str">
            <v>Booking Error</v>
          </cell>
          <cell r="W5" t="str">
            <v>Driver  (Rude/Abusive/Un-helpful/etc.)</v>
          </cell>
          <cell r="X5" t="str">
            <v>Early Vehicle</v>
          </cell>
          <cell r="Y5" t="str">
            <v>Fare/Run-In/Waiting Time Charge Query</v>
          </cell>
          <cell r="Z5" t="str">
            <v>Gazetteer/IT/System Issue</v>
          </cell>
          <cell r="AA5" t="str">
            <v>Late Vehicle</v>
          </cell>
          <cell r="AB5" t="str">
            <v>No Vehicle</v>
          </cell>
          <cell r="AC5" t="str">
            <v>Operator Issue (Rude/Abusive/Un-helpful/etc.)</v>
          </cell>
          <cell r="AD5" t="str">
            <v>Phone/Ringback Issue</v>
          </cell>
          <cell r="AE5" t="str">
            <v>Total PHV</v>
          </cell>
          <cell r="AF5" t="str">
            <v>PHV Driver</v>
          </cell>
          <cell r="AG5" t="str">
            <v>PHV Fare</v>
          </cell>
          <cell r="AH5" t="str">
            <v>PHV Late/No</v>
          </cell>
          <cell r="AI5" t="str">
            <v>PHV Operator</v>
          </cell>
          <cell r="AJ5" t="str">
            <v>PHV System</v>
          </cell>
        </row>
        <row r="6">
          <cell r="A6" t="str">
            <v>BAR</v>
          </cell>
          <cell r="B6">
            <v>966</v>
          </cell>
          <cell r="C6">
            <v>2</v>
          </cell>
          <cell r="D6">
            <v>1</v>
          </cell>
          <cell r="E6">
            <v>1</v>
          </cell>
          <cell r="F6">
            <v>1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1</v>
          </cell>
          <cell r="M6">
            <v>0</v>
          </cell>
          <cell r="N6">
            <v>0</v>
          </cell>
          <cell r="O6">
            <v>0</v>
          </cell>
          <cell r="P6">
            <v>1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1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1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A7" t="str">
            <v>BEX</v>
          </cell>
          <cell r="B7">
            <v>435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A8" t="str">
            <v>BND</v>
          </cell>
          <cell r="B8">
            <v>927</v>
          </cell>
          <cell r="C8">
            <v>1</v>
          </cell>
          <cell r="D8">
            <v>0</v>
          </cell>
          <cell r="E8">
            <v>1</v>
          </cell>
          <cell r="F8">
            <v>1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1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A9" t="str">
            <v>BRE</v>
          </cell>
          <cell r="B9">
            <v>1524</v>
          </cell>
          <cell r="C9">
            <v>2</v>
          </cell>
          <cell r="D9">
            <v>0</v>
          </cell>
          <cell r="E9">
            <v>2</v>
          </cell>
          <cell r="F9">
            <v>0</v>
          </cell>
          <cell r="G9">
            <v>0</v>
          </cell>
          <cell r="H9">
            <v>1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A10" t="str">
            <v>BRO</v>
          </cell>
          <cell r="B10">
            <v>752</v>
          </cell>
          <cell r="C10">
            <v>1</v>
          </cell>
          <cell r="D10">
            <v>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A11" t="str">
            <v>CAM</v>
          </cell>
          <cell r="B11">
            <v>2953</v>
          </cell>
          <cell r="C11">
            <v>4</v>
          </cell>
          <cell r="D11">
            <v>2</v>
          </cell>
          <cell r="E11">
            <v>2</v>
          </cell>
          <cell r="F11">
            <v>1</v>
          </cell>
          <cell r="G11">
            <v>1</v>
          </cell>
          <cell r="H11">
            <v>1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</v>
          </cell>
          <cell r="P11">
            <v>0</v>
          </cell>
          <cell r="Q11">
            <v>0</v>
          </cell>
          <cell r="R11">
            <v>1</v>
          </cell>
          <cell r="S11">
            <v>0</v>
          </cell>
          <cell r="T11">
            <v>0</v>
          </cell>
          <cell r="U11">
            <v>1</v>
          </cell>
          <cell r="V11">
            <v>0</v>
          </cell>
          <cell r="W11">
            <v>1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A12" t="str">
            <v>CRO</v>
          </cell>
          <cell r="B12">
            <v>1167</v>
          </cell>
          <cell r="C12">
            <v>3</v>
          </cell>
          <cell r="D12">
            <v>0</v>
          </cell>
          <cell r="E12">
            <v>3</v>
          </cell>
          <cell r="F12">
            <v>3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O12">
            <v>2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1</v>
          </cell>
          <cell r="AB12">
            <v>0</v>
          </cell>
          <cell r="AC12">
            <v>0</v>
          </cell>
          <cell r="AD12">
            <v>0</v>
          </cell>
          <cell r="AE12">
            <v>2</v>
          </cell>
          <cell r="AF12">
            <v>2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A13" t="str">
            <v>EAL</v>
          </cell>
          <cell r="B13">
            <v>1042</v>
          </cell>
          <cell r="C13">
            <v>1</v>
          </cell>
          <cell r="D13">
            <v>0</v>
          </cell>
          <cell r="E13">
            <v>1</v>
          </cell>
          <cell r="F13">
            <v>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1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A14" t="str">
            <v>ENF</v>
          </cell>
          <cell r="B14">
            <v>704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A15" t="str">
            <v>GRE</v>
          </cell>
          <cell r="B15">
            <v>1978</v>
          </cell>
          <cell r="C15">
            <v>1</v>
          </cell>
          <cell r="D15">
            <v>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1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A16" t="str">
            <v>HAC</v>
          </cell>
          <cell r="B16">
            <v>2536</v>
          </cell>
          <cell r="C16">
            <v>5</v>
          </cell>
          <cell r="D16">
            <v>2</v>
          </cell>
          <cell r="E16">
            <v>3</v>
          </cell>
          <cell r="F16">
            <v>2</v>
          </cell>
          <cell r="G16">
            <v>0</v>
          </cell>
          <cell r="H16">
            <v>2</v>
          </cell>
          <cell r="I16">
            <v>0</v>
          </cell>
          <cell r="J16">
            <v>2</v>
          </cell>
          <cell r="K16">
            <v>0</v>
          </cell>
          <cell r="L16">
            <v>1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0</v>
          </cell>
          <cell r="W16">
            <v>1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1</v>
          </cell>
          <cell r="AF16">
            <v>1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A17" t="str">
            <v>HAM</v>
          </cell>
          <cell r="B17">
            <v>1499</v>
          </cell>
          <cell r="C17">
            <v>2</v>
          </cell>
          <cell r="D17">
            <v>0</v>
          </cell>
          <cell r="E17">
            <v>2</v>
          </cell>
          <cell r="F17">
            <v>1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1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A18" t="str">
            <v>HAR</v>
          </cell>
          <cell r="B18">
            <v>817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A19" t="str">
            <v>HAV</v>
          </cell>
          <cell r="B19">
            <v>1821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</row>
        <row r="20">
          <cell r="A20" t="str">
            <v>HAY</v>
          </cell>
          <cell r="B20">
            <v>2216</v>
          </cell>
          <cell r="C20">
            <v>2</v>
          </cell>
          <cell r="D20">
            <v>1</v>
          </cell>
          <cell r="E20">
            <v>1</v>
          </cell>
          <cell r="F20">
            <v>1</v>
          </cell>
          <cell r="G20">
            <v>0</v>
          </cell>
          <cell r="H20">
            <v>1</v>
          </cell>
          <cell r="I20">
            <v>0</v>
          </cell>
          <cell r="J20">
            <v>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0</v>
          </cell>
          <cell r="W20">
            <v>1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21" t="str">
            <v>HIL</v>
          </cell>
          <cell r="B21">
            <v>545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A22" t="str">
            <v>HOU</v>
          </cell>
          <cell r="B22">
            <v>836</v>
          </cell>
          <cell r="C22">
            <v>3</v>
          </cell>
          <cell r="D22">
            <v>1</v>
          </cell>
          <cell r="E22">
            <v>2</v>
          </cell>
          <cell r="F22">
            <v>1</v>
          </cell>
          <cell r="G22">
            <v>0</v>
          </cell>
          <cell r="H22">
            <v>1</v>
          </cell>
          <cell r="I22">
            <v>0</v>
          </cell>
          <cell r="J22">
            <v>1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1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A23" t="str">
            <v>ISL</v>
          </cell>
          <cell r="B23">
            <v>2085</v>
          </cell>
          <cell r="C23">
            <v>1</v>
          </cell>
          <cell r="D23">
            <v>1</v>
          </cell>
          <cell r="E23">
            <v>0</v>
          </cell>
          <cell r="F23">
            <v>1</v>
          </cell>
          <cell r="G23">
            <v>0</v>
          </cell>
          <cell r="H23">
            <v>0</v>
          </cell>
          <cell r="I23">
            <v>0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0</v>
          </cell>
          <cell r="W23">
            <v>0</v>
          </cell>
          <cell r="X23">
            <v>0</v>
          </cell>
          <cell r="Y23">
            <v>1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</row>
        <row r="24">
          <cell r="A24" t="str">
            <v>KEN</v>
          </cell>
          <cell r="B24">
            <v>1947</v>
          </cell>
          <cell r="C24">
            <v>2</v>
          </cell>
          <cell r="D24">
            <v>0</v>
          </cell>
          <cell r="E24">
            <v>2</v>
          </cell>
          <cell r="F24">
            <v>2</v>
          </cell>
          <cell r="G24">
            <v>0</v>
          </cell>
          <cell r="H24">
            <v>2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2</v>
          </cell>
          <cell r="V24">
            <v>0</v>
          </cell>
          <cell r="W24">
            <v>2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A25" t="str">
            <v>KIN</v>
          </cell>
          <cell r="B25">
            <v>1784</v>
          </cell>
          <cell r="C25">
            <v>2</v>
          </cell>
          <cell r="D25">
            <v>1</v>
          </cell>
          <cell r="E25">
            <v>1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1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1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</row>
        <row r="26">
          <cell r="A26" t="str">
            <v>LAM</v>
          </cell>
          <cell r="B26">
            <v>1659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A27" t="str">
            <v>LEW</v>
          </cell>
          <cell r="B27">
            <v>2292</v>
          </cell>
          <cell r="C27">
            <v>1</v>
          </cell>
          <cell r="D27">
            <v>0</v>
          </cell>
          <cell r="E27">
            <v>1</v>
          </cell>
          <cell r="F27">
            <v>1</v>
          </cell>
          <cell r="G27">
            <v>0</v>
          </cell>
          <cell r="H27">
            <v>1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0</v>
          </cell>
          <cell r="W27">
            <v>1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A28" t="str">
            <v>LON</v>
          </cell>
          <cell r="B28">
            <v>68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A29" t="str">
            <v>MER</v>
          </cell>
          <cell r="B29">
            <v>1357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A30" t="str">
            <v>NEW</v>
          </cell>
          <cell r="B30">
            <v>2179</v>
          </cell>
          <cell r="C30">
            <v>1</v>
          </cell>
          <cell r="D30">
            <v>0</v>
          </cell>
          <cell r="E30">
            <v>1</v>
          </cell>
          <cell r="F30">
            <v>1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1</v>
          </cell>
          <cell r="AF30">
            <v>1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A31" t="str">
            <v>RED</v>
          </cell>
          <cell r="B31">
            <v>1967</v>
          </cell>
          <cell r="C31">
            <v>2</v>
          </cell>
          <cell r="D31">
            <v>0</v>
          </cell>
          <cell r="E31">
            <v>2</v>
          </cell>
          <cell r="F31">
            <v>2</v>
          </cell>
          <cell r="G31">
            <v>0</v>
          </cell>
          <cell r="H31">
            <v>1</v>
          </cell>
          <cell r="I31">
            <v>0</v>
          </cell>
          <cell r="J31">
            <v>0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2</v>
          </cell>
          <cell r="V31">
            <v>0</v>
          </cell>
          <cell r="W31">
            <v>1</v>
          </cell>
          <cell r="X31">
            <v>0</v>
          </cell>
          <cell r="Y31">
            <v>0</v>
          </cell>
          <cell r="Z31">
            <v>0</v>
          </cell>
          <cell r="AA31">
            <v>1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A32" t="str">
            <v>RIC</v>
          </cell>
          <cell r="B32">
            <v>1133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</row>
        <row r="33">
          <cell r="A33" t="str">
            <v>SOU</v>
          </cell>
          <cell r="B33">
            <v>2360</v>
          </cell>
          <cell r="C33">
            <v>2</v>
          </cell>
          <cell r="D33">
            <v>0</v>
          </cell>
          <cell r="E33">
            <v>2</v>
          </cell>
          <cell r="F33">
            <v>2</v>
          </cell>
          <cell r="G33">
            <v>0</v>
          </cell>
          <cell r="H33">
            <v>2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2</v>
          </cell>
          <cell r="V33">
            <v>0</v>
          </cell>
          <cell r="W33">
            <v>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A34" t="str">
            <v>SUT</v>
          </cell>
          <cell r="B34">
            <v>1027</v>
          </cell>
          <cell r="C34">
            <v>2</v>
          </cell>
          <cell r="D34">
            <v>0</v>
          </cell>
          <cell r="E34">
            <v>2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1</v>
          </cell>
          <cell r="M34">
            <v>0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</row>
        <row r="35">
          <cell r="A35" t="str">
            <v>TOW</v>
          </cell>
          <cell r="B35">
            <v>1903</v>
          </cell>
          <cell r="C35">
            <v>3</v>
          </cell>
          <cell r="D35">
            <v>2</v>
          </cell>
          <cell r="E35">
            <v>1</v>
          </cell>
          <cell r="F35">
            <v>3</v>
          </cell>
          <cell r="G35">
            <v>1</v>
          </cell>
          <cell r="H35">
            <v>0</v>
          </cell>
          <cell r="I35">
            <v>0</v>
          </cell>
          <cell r="J35">
            <v>1</v>
          </cell>
          <cell r="K35">
            <v>0</v>
          </cell>
          <cell r="L35">
            <v>1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3</v>
          </cell>
          <cell r="V35">
            <v>1</v>
          </cell>
          <cell r="W35">
            <v>0</v>
          </cell>
          <cell r="X35">
            <v>0</v>
          </cell>
          <cell r="Y35">
            <v>1</v>
          </cell>
          <cell r="Z35">
            <v>1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</row>
        <row r="36">
          <cell r="A36" t="str">
            <v>WAL</v>
          </cell>
          <cell r="B36">
            <v>576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A37" t="str">
            <v>WAN</v>
          </cell>
          <cell r="B37">
            <v>902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WES</v>
          </cell>
          <cell r="B38">
            <v>1940</v>
          </cell>
          <cell r="C38">
            <v>3</v>
          </cell>
          <cell r="D38">
            <v>0</v>
          </cell>
          <cell r="E38">
            <v>3</v>
          </cell>
          <cell r="F38">
            <v>1</v>
          </cell>
          <cell r="G38">
            <v>0</v>
          </cell>
          <cell r="H38">
            <v>1</v>
          </cell>
          <cell r="I38">
            <v>0</v>
          </cell>
          <cell r="J38">
            <v>0</v>
          </cell>
          <cell r="K38">
            <v>2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1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1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A39" t="str">
            <v>TOTAL</v>
          </cell>
          <cell r="B39">
            <v>47897</v>
          </cell>
          <cell r="C39">
            <v>46</v>
          </cell>
          <cell r="D39">
            <v>13</v>
          </cell>
          <cell r="E39">
            <v>33</v>
          </cell>
          <cell r="F39">
            <v>26</v>
          </cell>
          <cell r="G39">
            <v>2</v>
          </cell>
          <cell r="H39">
            <v>13</v>
          </cell>
          <cell r="I39">
            <v>0</v>
          </cell>
          <cell r="J39">
            <v>9</v>
          </cell>
          <cell r="K39">
            <v>7</v>
          </cell>
          <cell r="L39">
            <v>5</v>
          </cell>
          <cell r="M39">
            <v>0</v>
          </cell>
          <cell r="N39">
            <v>0</v>
          </cell>
          <cell r="O39">
            <v>8</v>
          </cell>
          <cell r="P39">
            <v>1</v>
          </cell>
          <cell r="Q39">
            <v>0</v>
          </cell>
          <cell r="R39">
            <v>1</v>
          </cell>
          <cell r="S39">
            <v>0</v>
          </cell>
          <cell r="T39">
            <v>0</v>
          </cell>
          <cell r="U39">
            <v>22</v>
          </cell>
          <cell r="V39">
            <v>2</v>
          </cell>
          <cell r="W39">
            <v>9</v>
          </cell>
          <cell r="X39">
            <v>0</v>
          </cell>
          <cell r="Y39">
            <v>2</v>
          </cell>
          <cell r="Z39">
            <v>3</v>
          </cell>
          <cell r="AA39">
            <v>5</v>
          </cell>
          <cell r="AB39">
            <v>1</v>
          </cell>
          <cell r="AC39">
            <v>0</v>
          </cell>
          <cell r="AD39">
            <v>0</v>
          </cell>
          <cell r="AE39">
            <v>4</v>
          </cell>
          <cell r="AF39">
            <v>4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</sheetData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</sheetNames>
    <sheetDataSet>
      <sheetData sheetId="0">
        <row r="2">
          <cell r="A2" t="str">
            <v>BND</v>
          </cell>
        </row>
      </sheetData>
      <sheetData sheetId="1">
        <row r="2">
          <cell r="A2" t="str">
            <v>BND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  <cell r="C4" t="str">
            <v>Total Queries &amp; Complaints Received</v>
          </cell>
          <cell r="D4" t="str">
            <v xml:space="preserve">Queries </v>
          </cell>
          <cell r="E4" t="str">
            <v xml:space="preserve">Complaints </v>
          </cell>
          <cell r="F4" t="str">
            <v>Complaints Upheld out of complaints</v>
          </cell>
          <cell r="G4" t="str">
            <v xml:space="preserve">Breakdown of Total Queries &amp; Complaints </v>
          </cell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 t="str">
            <v>Breakdown of Complaints Upheld</v>
          </cell>
          <cell r="V4"/>
          <cell r="W4"/>
          <cell r="X4"/>
          <cell r="Y4"/>
          <cell r="Z4"/>
          <cell r="AA4"/>
          <cell r="AB4"/>
          <cell r="AC4"/>
          <cell r="AD4"/>
          <cell r="AE4"/>
          <cell r="AF4"/>
          <cell r="AG4"/>
          <cell r="AH4"/>
          <cell r="AI4"/>
          <cell r="AJ4"/>
        </row>
        <row r="5">
          <cell r="A5" t="str">
            <v>Borough</v>
          </cell>
          <cell r="B5"/>
          <cell r="C5"/>
          <cell r="D5"/>
          <cell r="E5"/>
          <cell r="F5"/>
          <cell r="G5" t="str">
            <v>Booking Error</v>
          </cell>
          <cell r="H5" t="str">
            <v>Driver  (Rude/Abusive/Un-helpful/etc.)</v>
          </cell>
          <cell r="I5" t="str">
            <v>Early Vehicle</v>
          </cell>
          <cell r="J5" t="str">
            <v>Fare Query</v>
          </cell>
          <cell r="K5" t="str">
            <v xml:space="preserve">Late Taxi </v>
          </cell>
          <cell r="L5" t="str">
            <v xml:space="preserve">No Taxi </v>
          </cell>
          <cell r="M5" t="str">
            <v>Operator Issue</v>
          </cell>
          <cell r="N5" t="str">
            <v>Phone (Answering, Response)</v>
          </cell>
          <cell r="O5" t="str">
            <v>PHV (Late/No Show/Driver/etc)</v>
          </cell>
          <cell r="P5" t="str">
            <v>Ringback</v>
          </cell>
          <cell r="Q5" t="str">
            <v>Run-In too high</v>
          </cell>
          <cell r="R5" t="str">
            <v>System/Gazetteer Problem</v>
          </cell>
          <cell r="S5" t="str">
            <v>Taxi arrived at incorrect Location</v>
          </cell>
          <cell r="T5" t="str">
            <v>Waiting time charge query</v>
          </cell>
          <cell r="U5" t="str">
            <v>Total Taxi</v>
          </cell>
          <cell r="V5" t="str">
            <v>Booking Error</v>
          </cell>
          <cell r="W5" t="str">
            <v>Driver  (Rude/Abusive/Un-helpful/etc.)</v>
          </cell>
          <cell r="X5" t="str">
            <v>Early Vehicle</v>
          </cell>
          <cell r="Y5" t="str">
            <v>Fare/Run-In/Waiting Time Charge Query</v>
          </cell>
          <cell r="Z5" t="str">
            <v>Gazetteer/IT/System Issue</v>
          </cell>
          <cell r="AA5" t="str">
            <v>Late Vehicle</v>
          </cell>
          <cell r="AB5" t="str">
            <v>No Vehicle</v>
          </cell>
          <cell r="AC5" t="str">
            <v>Operator Issue (Rude/Abusive/Un-helpful/etc.)</v>
          </cell>
          <cell r="AD5" t="str">
            <v>Phone/Ringback Issue</v>
          </cell>
          <cell r="AE5" t="str">
            <v>Total PHV</v>
          </cell>
          <cell r="AF5" t="str">
            <v>PHV Driver</v>
          </cell>
          <cell r="AG5" t="str">
            <v>PHV Fare</v>
          </cell>
          <cell r="AH5" t="str">
            <v>PHV Late/No</v>
          </cell>
          <cell r="AI5" t="str">
            <v>PHV Operator</v>
          </cell>
          <cell r="AJ5" t="str">
            <v>PHV System</v>
          </cell>
        </row>
        <row r="6">
          <cell r="A6" t="str">
            <v>BAR</v>
          </cell>
          <cell r="B6">
            <v>966</v>
          </cell>
          <cell r="C6">
            <v>2</v>
          </cell>
          <cell r="D6">
            <v>1</v>
          </cell>
          <cell r="E6">
            <v>1</v>
          </cell>
          <cell r="F6">
            <v>1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1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1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A7" t="str">
            <v>BEX</v>
          </cell>
          <cell r="B7">
            <v>435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A8" t="str">
            <v>BND</v>
          </cell>
          <cell r="B8">
            <v>927</v>
          </cell>
          <cell r="C8">
            <v>1</v>
          </cell>
          <cell r="D8">
            <v>0</v>
          </cell>
          <cell r="E8">
            <v>1</v>
          </cell>
          <cell r="F8">
            <v>1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1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A9" t="str">
            <v>BRE</v>
          </cell>
          <cell r="B9">
            <v>1524</v>
          </cell>
          <cell r="C9">
            <v>2</v>
          </cell>
          <cell r="D9">
            <v>0</v>
          </cell>
          <cell r="E9">
            <v>2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A10" t="str">
            <v>BRO</v>
          </cell>
          <cell r="B10">
            <v>752</v>
          </cell>
          <cell r="C10">
            <v>1</v>
          </cell>
          <cell r="D10">
            <v>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A11" t="str">
            <v>CAM</v>
          </cell>
          <cell r="B11">
            <v>2953</v>
          </cell>
          <cell r="C11">
            <v>4</v>
          </cell>
          <cell r="D11">
            <v>2</v>
          </cell>
          <cell r="E11">
            <v>2</v>
          </cell>
          <cell r="F11">
            <v>1</v>
          </cell>
          <cell r="G11">
            <v>0</v>
          </cell>
          <cell r="H11">
            <v>1</v>
          </cell>
          <cell r="I11">
            <v>0</v>
          </cell>
          <cell r="J11">
            <v>1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1</v>
          </cell>
          <cell r="V11">
            <v>0</v>
          </cell>
          <cell r="W11">
            <v>1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A12" t="str">
            <v>CRO</v>
          </cell>
          <cell r="B12">
            <v>1167</v>
          </cell>
          <cell r="C12">
            <v>3</v>
          </cell>
          <cell r="D12">
            <v>0</v>
          </cell>
          <cell r="E12">
            <v>3</v>
          </cell>
          <cell r="F12">
            <v>3</v>
          </cell>
          <cell r="G12">
            <v>0</v>
          </cell>
          <cell r="H12">
            <v>1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1</v>
          </cell>
          <cell r="AB12">
            <v>0</v>
          </cell>
          <cell r="AC12">
            <v>0</v>
          </cell>
          <cell r="AD12">
            <v>0</v>
          </cell>
          <cell r="AE12">
            <v>2</v>
          </cell>
          <cell r="AF12">
            <v>2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A13" t="str">
            <v>EAL</v>
          </cell>
          <cell r="B13">
            <v>1042</v>
          </cell>
          <cell r="C13">
            <v>1</v>
          </cell>
          <cell r="D13">
            <v>0</v>
          </cell>
          <cell r="E13">
            <v>1</v>
          </cell>
          <cell r="F13">
            <v>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1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A14" t="str">
            <v>ENF</v>
          </cell>
          <cell r="B14">
            <v>704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1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A15" t="str">
            <v>GRE</v>
          </cell>
          <cell r="B15">
            <v>1978</v>
          </cell>
          <cell r="C15">
            <v>1</v>
          </cell>
          <cell r="D15">
            <v>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1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A16" t="str">
            <v>HAC</v>
          </cell>
          <cell r="B16">
            <v>2536</v>
          </cell>
          <cell r="C16">
            <v>5</v>
          </cell>
          <cell r="D16">
            <v>2</v>
          </cell>
          <cell r="E16">
            <v>3</v>
          </cell>
          <cell r="F16">
            <v>2</v>
          </cell>
          <cell r="G16">
            <v>0</v>
          </cell>
          <cell r="H16">
            <v>1</v>
          </cell>
          <cell r="I16">
            <v>0</v>
          </cell>
          <cell r="J16">
            <v>0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0</v>
          </cell>
          <cell r="W16">
            <v>1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1</v>
          </cell>
          <cell r="AF16">
            <v>1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A17" t="str">
            <v>HAM</v>
          </cell>
          <cell r="B17">
            <v>1499</v>
          </cell>
          <cell r="C17">
            <v>2</v>
          </cell>
          <cell r="D17">
            <v>0</v>
          </cell>
          <cell r="E17">
            <v>2</v>
          </cell>
          <cell r="F17">
            <v>1</v>
          </cell>
          <cell r="G17">
            <v>0</v>
          </cell>
          <cell r="H17">
            <v>1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1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A18" t="str">
            <v>HAR</v>
          </cell>
          <cell r="B18">
            <v>817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A19" t="str">
            <v>HAV</v>
          </cell>
          <cell r="B19">
            <v>1821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</row>
        <row r="20">
          <cell r="A20" t="str">
            <v>HAY</v>
          </cell>
          <cell r="B20">
            <v>2216</v>
          </cell>
          <cell r="C20">
            <v>2</v>
          </cell>
          <cell r="D20">
            <v>1</v>
          </cell>
          <cell r="E20">
            <v>1</v>
          </cell>
          <cell r="F20">
            <v>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0</v>
          </cell>
          <cell r="W20">
            <v>1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21" t="str">
            <v>HIL</v>
          </cell>
          <cell r="B21">
            <v>545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A22" t="str">
            <v>HOU</v>
          </cell>
          <cell r="B22">
            <v>836</v>
          </cell>
          <cell r="C22">
            <v>3</v>
          </cell>
          <cell r="D22">
            <v>1</v>
          </cell>
          <cell r="E22">
            <v>2</v>
          </cell>
          <cell r="F22">
            <v>1</v>
          </cell>
          <cell r="G22">
            <v>0</v>
          </cell>
          <cell r="H22">
            <v>1</v>
          </cell>
          <cell r="I22">
            <v>0</v>
          </cell>
          <cell r="J22">
            <v>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1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A23" t="str">
            <v>ISL</v>
          </cell>
          <cell r="B23">
            <v>2085</v>
          </cell>
          <cell r="C23">
            <v>1</v>
          </cell>
          <cell r="D23">
            <v>1</v>
          </cell>
          <cell r="E23">
            <v>0</v>
          </cell>
          <cell r="F23">
            <v>1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0</v>
          </cell>
          <cell r="W23">
            <v>0</v>
          </cell>
          <cell r="X23">
            <v>0</v>
          </cell>
          <cell r="Y23">
            <v>1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</row>
        <row r="24">
          <cell r="A24" t="str">
            <v>KEN</v>
          </cell>
          <cell r="B24">
            <v>1947</v>
          </cell>
          <cell r="C24">
            <v>2</v>
          </cell>
          <cell r="D24">
            <v>0</v>
          </cell>
          <cell r="E24">
            <v>2</v>
          </cell>
          <cell r="F24">
            <v>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2</v>
          </cell>
          <cell r="V24">
            <v>0</v>
          </cell>
          <cell r="W24">
            <v>2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A25" t="str">
            <v>KIN</v>
          </cell>
          <cell r="B25">
            <v>1784</v>
          </cell>
          <cell r="C25">
            <v>2</v>
          </cell>
          <cell r="D25">
            <v>1</v>
          </cell>
          <cell r="E25">
            <v>1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1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</row>
        <row r="26">
          <cell r="A26" t="str">
            <v>LAM</v>
          </cell>
          <cell r="B26">
            <v>1659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A27" t="str">
            <v>LEW</v>
          </cell>
          <cell r="B27">
            <v>2292</v>
          </cell>
          <cell r="C27">
            <v>1</v>
          </cell>
          <cell r="D27">
            <v>0</v>
          </cell>
          <cell r="E27">
            <v>1</v>
          </cell>
          <cell r="F27">
            <v>1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0</v>
          </cell>
          <cell r="W27">
            <v>1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A28" t="str">
            <v>LON</v>
          </cell>
          <cell r="B28">
            <v>68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A29" t="str">
            <v>MER</v>
          </cell>
          <cell r="B29">
            <v>1357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A30" t="str">
            <v>NEW</v>
          </cell>
          <cell r="B30">
            <v>2179</v>
          </cell>
          <cell r="C30">
            <v>1</v>
          </cell>
          <cell r="D30">
            <v>0</v>
          </cell>
          <cell r="E30">
            <v>1</v>
          </cell>
          <cell r="F30">
            <v>1</v>
          </cell>
          <cell r="G30">
            <v>0</v>
          </cell>
          <cell r="H30">
            <v>2</v>
          </cell>
          <cell r="I30">
            <v>0</v>
          </cell>
          <cell r="J30">
            <v>2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1</v>
          </cell>
          <cell r="AF30">
            <v>1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A31" t="str">
            <v>RED</v>
          </cell>
          <cell r="B31">
            <v>1967</v>
          </cell>
          <cell r="C31">
            <v>2</v>
          </cell>
          <cell r="D31">
            <v>0</v>
          </cell>
          <cell r="E31">
            <v>2</v>
          </cell>
          <cell r="F31">
            <v>2</v>
          </cell>
          <cell r="G31">
            <v>0</v>
          </cell>
          <cell r="H31">
            <v>0</v>
          </cell>
          <cell r="I31">
            <v>0</v>
          </cell>
          <cell r="J31">
            <v>1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2</v>
          </cell>
          <cell r="V31">
            <v>0</v>
          </cell>
          <cell r="W31">
            <v>1</v>
          </cell>
          <cell r="X31">
            <v>0</v>
          </cell>
          <cell r="Y31">
            <v>0</v>
          </cell>
          <cell r="Z31">
            <v>0</v>
          </cell>
          <cell r="AA31">
            <v>1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A32" t="str">
            <v>RIC</v>
          </cell>
          <cell r="B32">
            <v>1133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</row>
        <row r="33">
          <cell r="A33" t="str">
            <v>SOU</v>
          </cell>
          <cell r="B33">
            <v>2360</v>
          </cell>
          <cell r="C33">
            <v>2</v>
          </cell>
          <cell r="D33">
            <v>0</v>
          </cell>
          <cell r="E33">
            <v>2</v>
          </cell>
          <cell r="F33">
            <v>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2</v>
          </cell>
          <cell r="V33">
            <v>0</v>
          </cell>
          <cell r="W33">
            <v>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A34" t="str">
            <v>SUT</v>
          </cell>
          <cell r="B34">
            <v>1027</v>
          </cell>
          <cell r="C34">
            <v>2</v>
          </cell>
          <cell r="D34">
            <v>0</v>
          </cell>
          <cell r="E34">
            <v>2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</row>
        <row r="35">
          <cell r="A35" t="str">
            <v>TOW</v>
          </cell>
          <cell r="B35">
            <v>1903</v>
          </cell>
          <cell r="C35">
            <v>3</v>
          </cell>
          <cell r="D35">
            <v>2</v>
          </cell>
          <cell r="E35">
            <v>1</v>
          </cell>
          <cell r="F35">
            <v>3</v>
          </cell>
          <cell r="G35">
            <v>0</v>
          </cell>
          <cell r="H35">
            <v>0</v>
          </cell>
          <cell r="I35">
            <v>0</v>
          </cell>
          <cell r="J35">
            <v>1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3</v>
          </cell>
          <cell r="V35">
            <v>1</v>
          </cell>
          <cell r="W35">
            <v>0</v>
          </cell>
          <cell r="X35">
            <v>0</v>
          </cell>
          <cell r="Y35">
            <v>1</v>
          </cell>
          <cell r="Z35">
            <v>1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</row>
        <row r="36">
          <cell r="A36" t="str">
            <v>WAL</v>
          </cell>
          <cell r="B36">
            <v>576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A37" t="str">
            <v>WAN</v>
          </cell>
          <cell r="B37">
            <v>902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WES</v>
          </cell>
          <cell r="B38">
            <v>1940</v>
          </cell>
          <cell r="C38">
            <v>3</v>
          </cell>
          <cell r="D38">
            <v>0</v>
          </cell>
          <cell r="E38">
            <v>3</v>
          </cell>
          <cell r="F38">
            <v>1</v>
          </cell>
          <cell r="G38">
            <v>0</v>
          </cell>
          <cell r="H38">
            <v>0</v>
          </cell>
          <cell r="I38">
            <v>0</v>
          </cell>
          <cell r="J38">
            <v>1</v>
          </cell>
          <cell r="K38">
            <v>0</v>
          </cell>
          <cell r="L38">
            <v>1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1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1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A39" t="str">
            <v>TOTAL</v>
          </cell>
          <cell r="B39">
            <v>47897</v>
          </cell>
          <cell r="C39">
            <v>46</v>
          </cell>
          <cell r="D39">
            <v>13</v>
          </cell>
          <cell r="E39">
            <v>33</v>
          </cell>
          <cell r="F39">
            <v>26</v>
          </cell>
          <cell r="G39">
            <v>0</v>
          </cell>
          <cell r="H39">
            <v>8</v>
          </cell>
          <cell r="I39">
            <v>0</v>
          </cell>
          <cell r="J39">
            <v>9</v>
          </cell>
          <cell r="K39">
            <v>1</v>
          </cell>
          <cell r="L39">
            <v>1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22</v>
          </cell>
          <cell r="V39">
            <v>2</v>
          </cell>
          <cell r="W39">
            <v>9</v>
          </cell>
          <cell r="X39">
            <v>0</v>
          </cell>
          <cell r="Y39">
            <v>2</v>
          </cell>
          <cell r="Z39">
            <v>3</v>
          </cell>
          <cell r="AA39">
            <v>5</v>
          </cell>
          <cell r="AB39">
            <v>1</v>
          </cell>
          <cell r="AC39">
            <v>0</v>
          </cell>
          <cell r="AD39">
            <v>0</v>
          </cell>
          <cell r="AE39">
            <v>4</v>
          </cell>
          <cell r="AF39">
            <v>4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Festives"/>
    </sheetNames>
    <sheetDataSet>
      <sheetData sheetId="0">
        <row r="2">
          <cell r="A2" t="str">
            <v>BND</v>
          </cell>
        </row>
      </sheetData>
      <sheetData sheetId="1">
        <row r="2">
          <cell r="A2" t="str">
            <v>BND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  <cell r="C4" t="str">
            <v>Total Queries &amp; Complaints Received</v>
          </cell>
          <cell r="D4" t="str">
            <v xml:space="preserve">Queries </v>
          </cell>
          <cell r="E4" t="str">
            <v xml:space="preserve">Complaints </v>
          </cell>
          <cell r="F4" t="str">
            <v>Complaints Upheld out of complaints</v>
          </cell>
          <cell r="G4" t="str">
            <v xml:space="preserve">Breakdown of Total Queries &amp; Complaints </v>
          </cell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 t="str">
            <v>Breakdown of Complaints Upheld</v>
          </cell>
          <cell r="V4"/>
          <cell r="W4"/>
          <cell r="X4"/>
          <cell r="Y4"/>
          <cell r="Z4"/>
          <cell r="AA4"/>
          <cell r="AB4"/>
          <cell r="AC4"/>
          <cell r="AD4"/>
          <cell r="AE4"/>
          <cell r="AF4"/>
          <cell r="AG4"/>
          <cell r="AH4"/>
          <cell r="AI4"/>
          <cell r="AJ4"/>
        </row>
        <row r="5">
          <cell r="A5" t="str">
            <v>Borough</v>
          </cell>
          <cell r="B5"/>
          <cell r="C5"/>
          <cell r="D5"/>
          <cell r="E5"/>
          <cell r="F5"/>
          <cell r="G5" t="str">
            <v>Booking Error</v>
          </cell>
          <cell r="H5" t="str">
            <v>Driver  (Rude/Abusive/Un-helpful/etc.)</v>
          </cell>
          <cell r="I5" t="str">
            <v>Early Vehicle</v>
          </cell>
          <cell r="J5" t="str">
            <v>Fare Query</v>
          </cell>
          <cell r="K5" t="str">
            <v xml:space="preserve">Late Taxi </v>
          </cell>
          <cell r="L5" t="str">
            <v xml:space="preserve">No Taxi </v>
          </cell>
          <cell r="M5" t="str">
            <v>Operator Issue</v>
          </cell>
          <cell r="N5" t="str">
            <v>Phone (Answering, Response)</v>
          </cell>
          <cell r="O5" t="str">
            <v>PHV (Late/No Show/Driver/etc)</v>
          </cell>
          <cell r="P5" t="str">
            <v>Ringback</v>
          </cell>
          <cell r="Q5" t="str">
            <v>Run-In too high</v>
          </cell>
          <cell r="R5" t="str">
            <v>System/Gazetteer Problem</v>
          </cell>
          <cell r="S5" t="str">
            <v>Taxi arrived at incorrect Location</v>
          </cell>
          <cell r="T5" t="str">
            <v>Waiting time charge query</v>
          </cell>
          <cell r="U5" t="str">
            <v>Total Taxi</v>
          </cell>
          <cell r="V5" t="str">
            <v>Booking Error</v>
          </cell>
          <cell r="W5" t="str">
            <v>Driver  (Rude/Abusive/Un-helpful/etc.)</v>
          </cell>
          <cell r="X5" t="str">
            <v>Early Vehicle</v>
          </cell>
          <cell r="Y5" t="str">
            <v>Fare/Run-In/Waiting Time Charge Query</v>
          </cell>
          <cell r="Z5" t="str">
            <v>Gazetteer/IT/System Issue</v>
          </cell>
          <cell r="AA5" t="str">
            <v>Late Vehicle</v>
          </cell>
          <cell r="AB5" t="str">
            <v>No Vehicle</v>
          </cell>
          <cell r="AC5" t="str">
            <v>Operator Issue (Rude/Abusive/Un-helpful/etc.)</v>
          </cell>
          <cell r="AD5" t="str">
            <v>Phone/Ringback Issue</v>
          </cell>
          <cell r="AE5" t="str">
            <v>Total PHV</v>
          </cell>
          <cell r="AF5" t="str">
            <v>PHV Driver</v>
          </cell>
          <cell r="AG5" t="str">
            <v>PHV Fare</v>
          </cell>
          <cell r="AH5" t="str">
            <v>PHV Late/No</v>
          </cell>
          <cell r="AI5" t="str">
            <v>PHV Operator</v>
          </cell>
          <cell r="AJ5" t="str">
            <v>PHV System</v>
          </cell>
        </row>
        <row r="6">
          <cell r="A6" t="str">
            <v>BAR</v>
          </cell>
          <cell r="B6">
            <v>809</v>
          </cell>
          <cell r="C6">
            <v>1</v>
          </cell>
          <cell r="D6">
            <v>1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1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A7" t="str">
            <v>BEX</v>
          </cell>
          <cell r="B7">
            <v>378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A8" t="str">
            <v>BND</v>
          </cell>
          <cell r="B8">
            <v>771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A9" t="str">
            <v>BRE</v>
          </cell>
          <cell r="B9">
            <v>1460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A10" t="str">
            <v>BRO</v>
          </cell>
          <cell r="B10">
            <v>663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A11" t="str">
            <v>CAM</v>
          </cell>
          <cell r="B11">
            <v>2654</v>
          </cell>
          <cell r="C11">
            <v>4</v>
          </cell>
          <cell r="D11">
            <v>3</v>
          </cell>
          <cell r="E11">
            <v>1</v>
          </cell>
          <cell r="F11">
            <v>3</v>
          </cell>
          <cell r="G11">
            <v>0</v>
          </cell>
          <cell r="H11">
            <v>1</v>
          </cell>
          <cell r="I11">
            <v>0</v>
          </cell>
          <cell r="J11">
            <v>1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2</v>
          </cell>
          <cell r="S11">
            <v>0</v>
          </cell>
          <cell r="T11">
            <v>0</v>
          </cell>
          <cell r="U11">
            <v>3</v>
          </cell>
          <cell r="V11">
            <v>0</v>
          </cell>
          <cell r="W11">
            <v>1</v>
          </cell>
          <cell r="X11">
            <v>0</v>
          </cell>
          <cell r="Y11">
            <v>1</v>
          </cell>
          <cell r="Z11">
            <v>1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A12" t="str">
            <v>CRO</v>
          </cell>
          <cell r="B12">
            <v>999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A13" t="str">
            <v>EAL</v>
          </cell>
          <cell r="B13">
            <v>988</v>
          </cell>
          <cell r="C13">
            <v>1</v>
          </cell>
          <cell r="D13">
            <v>0</v>
          </cell>
          <cell r="E13">
            <v>1</v>
          </cell>
          <cell r="F13">
            <v>1</v>
          </cell>
          <cell r="G13">
            <v>0</v>
          </cell>
          <cell r="H13">
            <v>1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0</v>
          </cell>
          <cell r="W13">
            <v>1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A14" t="str">
            <v>ENF</v>
          </cell>
          <cell r="B14">
            <v>668</v>
          </cell>
          <cell r="C14">
            <v>1</v>
          </cell>
          <cell r="D14">
            <v>0</v>
          </cell>
          <cell r="E14">
            <v>1</v>
          </cell>
          <cell r="F14">
            <v>1</v>
          </cell>
          <cell r="G14">
            <v>0</v>
          </cell>
          <cell r="H14">
            <v>1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0</v>
          </cell>
          <cell r="W14">
            <v>1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A15" t="str">
            <v>GRE</v>
          </cell>
          <cell r="B15">
            <v>1638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A16" t="str">
            <v>HAC</v>
          </cell>
          <cell r="B16">
            <v>2474</v>
          </cell>
          <cell r="C16">
            <v>1</v>
          </cell>
          <cell r="D16">
            <v>0</v>
          </cell>
          <cell r="E16">
            <v>1</v>
          </cell>
          <cell r="F16">
            <v>0</v>
          </cell>
          <cell r="G16">
            <v>0</v>
          </cell>
          <cell r="H16">
            <v>1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A17" t="str">
            <v>HAM</v>
          </cell>
          <cell r="B17">
            <v>1366</v>
          </cell>
          <cell r="C17">
            <v>1</v>
          </cell>
          <cell r="D17">
            <v>1</v>
          </cell>
          <cell r="E17">
            <v>0</v>
          </cell>
          <cell r="F17">
            <v>1</v>
          </cell>
          <cell r="G17">
            <v>0</v>
          </cell>
          <cell r="H17">
            <v>0</v>
          </cell>
          <cell r="I17">
            <v>0</v>
          </cell>
          <cell r="J17">
            <v>1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0</v>
          </cell>
          <cell r="W17">
            <v>0</v>
          </cell>
          <cell r="X17">
            <v>0</v>
          </cell>
          <cell r="Y17">
            <v>1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A18" t="str">
            <v>HAR</v>
          </cell>
          <cell r="B18">
            <v>749</v>
          </cell>
          <cell r="C18">
            <v>2</v>
          </cell>
          <cell r="D18">
            <v>1</v>
          </cell>
          <cell r="E18">
            <v>1</v>
          </cell>
          <cell r="F18">
            <v>0</v>
          </cell>
          <cell r="G18">
            <v>0</v>
          </cell>
          <cell r="H18">
            <v>1</v>
          </cell>
          <cell r="I18">
            <v>0</v>
          </cell>
          <cell r="J18">
            <v>1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A19" t="str">
            <v>HAV</v>
          </cell>
          <cell r="B19">
            <v>1509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</row>
        <row r="20">
          <cell r="A20" t="str">
            <v>HAY</v>
          </cell>
          <cell r="B20">
            <v>2039</v>
          </cell>
          <cell r="C20">
            <v>2</v>
          </cell>
          <cell r="D20">
            <v>0</v>
          </cell>
          <cell r="E20">
            <v>2</v>
          </cell>
          <cell r="F20">
            <v>2</v>
          </cell>
          <cell r="G20">
            <v>0</v>
          </cell>
          <cell r="H20">
            <v>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0</v>
          </cell>
          <cell r="W20">
            <v>1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1</v>
          </cell>
          <cell r="AF20">
            <v>0</v>
          </cell>
          <cell r="AG20">
            <v>0</v>
          </cell>
          <cell r="AH20">
            <v>1</v>
          </cell>
          <cell r="AI20">
            <v>0</v>
          </cell>
          <cell r="AJ20">
            <v>0</v>
          </cell>
        </row>
        <row r="21">
          <cell r="A21" t="str">
            <v>HIL</v>
          </cell>
          <cell r="B21">
            <v>525</v>
          </cell>
          <cell r="C21">
            <v>2</v>
          </cell>
          <cell r="D21">
            <v>0</v>
          </cell>
          <cell r="E21">
            <v>2</v>
          </cell>
          <cell r="F21">
            <v>1</v>
          </cell>
          <cell r="G21">
            <v>0</v>
          </cell>
          <cell r="H21">
            <v>1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0</v>
          </cell>
          <cell r="W21">
            <v>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A22" t="str">
            <v>HOU</v>
          </cell>
          <cell r="B22">
            <v>784</v>
          </cell>
          <cell r="C22">
            <v>1</v>
          </cell>
          <cell r="D22">
            <v>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1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A23" t="str">
            <v>ISL</v>
          </cell>
          <cell r="B23">
            <v>1894</v>
          </cell>
          <cell r="C23">
            <v>2</v>
          </cell>
          <cell r="D23">
            <v>0</v>
          </cell>
          <cell r="E23">
            <v>2</v>
          </cell>
          <cell r="F23">
            <v>1</v>
          </cell>
          <cell r="G23">
            <v>0</v>
          </cell>
          <cell r="H23">
            <v>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0</v>
          </cell>
          <cell r="W23">
            <v>1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</row>
        <row r="24">
          <cell r="A24" t="str">
            <v>KEN</v>
          </cell>
          <cell r="B24">
            <v>1997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A25" t="str">
            <v>KIN</v>
          </cell>
          <cell r="B25">
            <v>1367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</row>
        <row r="26">
          <cell r="A26" t="str">
            <v>LAM</v>
          </cell>
          <cell r="B26">
            <v>1725</v>
          </cell>
          <cell r="C26">
            <v>1</v>
          </cell>
          <cell r="D26">
            <v>0</v>
          </cell>
          <cell r="E26">
            <v>1</v>
          </cell>
          <cell r="F26">
            <v>0</v>
          </cell>
          <cell r="G26">
            <v>0</v>
          </cell>
          <cell r="H26">
            <v>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A27" t="str">
            <v>LEW</v>
          </cell>
          <cell r="B27">
            <v>2255</v>
          </cell>
          <cell r="C27">
            <v>2</v>
          </cell>
          <cell r="D27">
            <v>0</v>
          </cell>
          <cell r="E27">
            <v>2</v>
          </cell>
          <cell r="F27">
            <v>0</v>
          </cell>
          <cell r="G27">
            <v>0</v>
          </cell>
          <cell r="H27">
            <v>2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A28" t="str">
            <v>LON</v>
          </cell>
          <cell r="B28">
            <v>66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A29" t="str">
            <v>MER</v>
          </cell>
          <cell r="B29">
            <v>1257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A30" t="str">
            <v>NEW</v>
          </cell>
          <cell r="B30">
            <v>1786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A31" t="str">
            <v>RED</v>
          </cell>
          <cell r="B31">
            <v>1812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A32" t="str">
            <v>RIC</v>
          </cell>
          <cell r="B32">
            <v>991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</row>
        <row r="33">
          <cell r="A33" t="str">
            <v>SOU</v>
          </cell>
          <cell r="B33">
            <v>2203</v>
          </cell>
          <cell r="C33">
            <v>3</v>
          </cell>
          <cell r="D33">
            <v>1</v>
          </cell>
          <cell r="E33">
            <v>2</v>
          </cell>
          <cell r="F33">
            <v>1</v>
          </cell>
          <cell r="G33">
            <v>0</v>
          </cell>
          <cell r="H33">
            <v>2</v>
          </cell>
          <cell r="I33">
            <v>0</v>
          </cell>
          <cell r="J33">
            <v>1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1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A34" t="str">
            <v>SUT</v>
          </cell>
          <cell r="B34">
            <v>924</v>
          </cell>
          <cell r="C34">
            <v>2</v>
          </cell>
          <cell r="D34">
            <v>1</v>
          </cell>
          <cell r="E34">
            <v>1</v>
          </cell>
          <cell r="F34">
            <v>1</v>
          </cell>
          <cell r="G34">
            <v>0</v>
          </cell>
          <cell r="H34">
            <v>1</v>
          </cell>
          <cell r="I34">
            <v>0</v>
          </cell>
          <cell r="J34">
            <v>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0</v>
          </cell>
          <cell r="W34">
            <v>1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</row>
        <row r="35">
          <cell r="A35" t="str">
            <v>TOW</v>
          </cell>
          <cell r="B35">
            <v>1922</v>
          </cell>
          <cell r="C35">
            <v>4</v>
          </cell>
          <cell r="D35">
            <v>1</v>
          </cell>
          <cell r="E35">
            <v>3</v>
          </cell>
          <cell r="F35">
            <v>1</v>
          </cell>
          <cell r="G35">
            <v>0</v>
          </cell>
          <cell r="H35">
            <v>2</v>
          </cell>
          <cell r="I35">
            <v>0</v>
          </cell>
          <cell r="J35">
            <v>1</v>
          </cell>
          <cell r="K35">
            <v>0</v>
          </cell>
          <cell r="L35">
            <v>1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1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1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</row>
        <row r="36">
          <cell r="A36" t="str">
            <v>WAL</v>
          </cell>
          <cell r="B36">
            <v>596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A37" t="str">
            <v>WAN</v>
          </cell>
          <cell r="B37">
            <v>918</v>
          </cell>
          <cell r="C37">
            <v>1</v>
          </cell>
          <cell r="D37">
            <v>0</v>
          </cell>
          <cell r="E37">
            <v>1</v>
          </cell>
          <cell r="F37">
            <v>1</v>
          </cell>
          <cell r="G37">
            <v>0</v>
          </cell>
          <cell r="H37">
            <v>1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0</v>
          </cell>
          <cell r="W37">
            <v>1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WES</v>
          </cell>
          <cell r="B38">
            <v>1681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A39" t="str">
            <v>TOTAL</v>
          </cell>
          <cell r="B39">
            <v>43868</v>
          </cell>
          <cell r="C39">
            <v>31</v>
          </cell>
          <cell r="D39">
            <v>10</v>
          </cell>
          <cell r="E39">
            <v>21</v>
          </cell>
          <cell r="F39">
            <v>14</v>
          </cell>
          <cell r="G39">
            <v>0</v>
          </cell>
          <cell r="H39">
            <v>18</v>
          </cell>
          <cell r="I39">
            <v>0</v>
          </cell>
          <cell r="J39">
            <v>8</v>
          </cell>
          <cell r="K39">
            <v>0</v>
          </cell>
          <cell r="L39">
            <v>2</v>
          </cell>
          <cell r="M39">
            <v>0</v>
          </cell>
          <cell r="N39">
            <v>0</v>
          </cell>
          <cell r="O39">
            <v>1</v>
          </cell>
          <cell r="P39">
            <v>0</v>
          </cell>
          <cell r="Q39">
            <v>0</v>
          </cell>
          <cell r="R39">
            <v>2</v>
          </cell>
          <cell r="S39">
            <v>0</v>
          </cell>
          <cell r="T39">
            <v>0</v>
          </cell>
          <cell r="U39">
            <v>13</v>
          </cell>
          <cell r="V39">
            <v>0</v>
          </cell>
          <cell r="W39">
            <v>8</v>
          </cell>
          <cell r="X39">
            <v>0</v>
          </cell>
          <cell r="Y39">
            <v>2</v>
          </cell>
          <cell r="Z39">
            <v>2</v>
          </cell>
          <cell r="AA39">
            <v>0</v>
          </cell>
          <cell r="AB39">
            <v>1</v>
          </cell>
          <cell r="AC39">
            <v>0</v>
          </cell>
          <cell r="AD39">
            <v>0</v>
          </cell>
          <cell r="AE39">
            <v>1</v>
          </cell>
          <cell r="AF39">
            <v>0</v>
          </cell>
          <cell r="AG39">
            <v>0</v>
          </cell>
          <cell r="AH39">
            <v>1</v>
          </cell>
          <cell r="AI39">
            <v>0</v>
          </cell>
          <cell r="AJ39">
            <v>0</v>
          </cell>
        </row>
      </sheetData>
      <sheetData sheetId="6">
        <row r="2">
          <cell r="B2" t="str">
            <v>BND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3.bin"/><Relationship Id="rId13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12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1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0.bin"/><Relationship Id="rId15" Type="http://schemas.openxmlformats.org/officeDocument/2006/relationships/printerSettings" Target="../printerSettings/printerSettings30.bin"/><Relationship Id="rId10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19.bin"/><Relationship Id="rId9" Type="http://schemas.openxmlformats.org/officeDocument/2006/relationships/printerSettings" Target="../printerSettings/printerSettings24.bin"/><Relationship Id="rId14" Type="http://schemas.openxmlformats.org/officeDocument/2006/relationships/printerSettings" Target="../printerSettings/printerSettings2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7"/>
  <dimension ref="A3:W44"/>
  <sheetViews>
    <sheetView zoomScale="75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D1" sqref="D1"/>
    </sheetView>
  </sheetViews>
  <sheetFormatPr defaultRowHeight="15" x14ac:dyDescent="0.25"/>
  <cols>
    <col min="1" max="1" width="9.33203125" style="1"/>
    <col min="2" max="2" width="10.1640625" style="1" customWidth="1"/>
    <col min="3" max="3" width="9.33203125" style="1"/>
    <col min="4" max="4" width="10.83203125" style="1" customWidth="1"/>
    <col min="5" max="6" width="9.33203125" style="1"/>
    <col min="7" max="7" width="9.33203125" style="11"/>
    <col min="8" max="9" width="9.33203125" style="1"/>
    <col min="10" max="21" width="15.83203125" style="1" customWidth="1"/>
    <col min="22" max="22" width="10" style="1" customWidth="1"/>
    <col min="23" max="23" width="15.83203125" style="1" customWidth="1"/>
    <col min="24" max="16384" width="9.33203125" style="1"/>
  </cols>
  <sheetData>
    <row r="3" spans="1:23" ht="15.75" x14ac:dyDescent="0.25">
      <c r="A3" s="13"/>
      <c r="H3" s="14"/>
      <c r="I3" s="11"/>
      <c r="W3" s="15"/>
    </row>
    <row r="4" spans="1:23" s="16" customFormat="1" ht="15.75" x14ac:dyDescent="0.25">
      <c r="A4" s="11"/>
      <c r="B4" s="13"/>
      <c r="C4" s="13"/>
      <c r="D4" s="13"/>
      <c r="G4" s="10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5"/>
    </row>
    <row r="5" spans="1:23" s="16" customFormat="1" ht="15.75" x14ac:dyDescent="0.25">
      <c r="A5" s="11"/>
      <c r="B5" s="13"/>
      <c r="C5" s="13"/>
      <c r="D5" s="13"/>
      <c r="G5" s="10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5"/>
    </row>
    <row r="8" spans="1:23" x14ac:dyDescent="0.25">
      <c r="J8" s="7"/>
    </row>
    <row r="9" spans="1:23" x14ac:dyDescent="0.25">
      <c r="J9" s="7"/>
    </row>
    <row r="13" spans="1:23" x14ac:dyDescent="0.25">
      <c r="J13" s="7"/>
      <c r="W13" s="7"/>
    </row>
    <row r="14" spans="1:23" x14ac:dyDescent="0.25">
      <c r="J14" s="8"/>
      <c r="W14" s="2"/>
    </row>
    <row r="15" spans="1:23" x14ac:dyDescent="0.25">
      <c r="J15" s="2"/>
    </row>
    <row r="16" spans="1:23" x14ac:dyDescent="0.25">
      <c r="J16" s="2"/>
    </row>
    <row r="17" spans="3:23" x14ac:dyDescent="0.25">
      <c r="J17" s="2"/>
    </row>
    <row r="18" spans="3:23" x14ac:dyDescent="0.25">
      <c r="J18" s="2"/>
    </row>
    <row r="20" spans="3:23" x14ac:dyDescent="0.25">
      <c r="J20" s="9"/>
    </row>
    <row r="21" spans="3:23" x14ac:dyDescent="0.25">
      <c r="J21" s="8"/>
    </row>
    <row r="22" spans="3:23" x14ac:dyDescent="0.25">
      <c r="J22" s="2"/>
    </row>
    <row r="24" spans="3:23" x14ac:dyDescent="0.25">
      <c r="C24" s="11"/>
      <c r="E24" s="11"/>
      <c r="H24" s="3"/>
    </row>
    <row r="25" spans="3:23" x14ac:dyDescent="0.25">
      <c r="C25" s="11"/>
      <c r="D25" s="3"/>
      <c r="E25" s="11"/>
      <c r="F25" s="12"/>
      <c r="H25" s="3"/>
    </row>
    <row r="26" spans="3:23" x14ac:dyDescent="0.25">
      <c r="C26" s="11"/>
      <c r="D26" s="3"/>
      <c r="E26" s="11"/>
      <c r="F26" s="3"/>
      <c r="H26" s="3"/>
      <c r="I26" s="3"/>
      <c r="J26" s="3"/>
    </row>
    <row r="27" spans="3:23" x14ac:dyDescent="0.25">
      <c r="C27" s="11"/>
      <c r="D27" s="4"/>
      <c r="E27" s="11"/>
      <c r="J27" s="4"/>
      <c r="W27" s="2"/>
    </row>
    <row r="28" spans="3:23" x14ac:dyDescent="0.25">
      <c r="C28" s="11"/>
      <c r="E28" s="11"/>
      <c r="J28" s="4"/>
    </row>
    <row r="29" spans="3:23" x14ac:dyDescent="0.25">
      <c r="C29" s="11"/>
      <c r="E29" s="11"/>
      <c r="J29" s="4"/>
    </row>
    <row r="30" spans="3:23" x14ac:dyDescent="0.25">
      <c r="C30" s="11"/>
      <c r="E30" s="11"/>
      <c r="J30" s="4"/>
    </row>
    <row r="31" spans="3:23" x14ac:dyDescent="0.25">
      <c r="C31" s="11"/>
      <c r="E31" s="11"/>
      <c r="J31" s="4"/>
    </row>
    <row r="32" spans="3:23" x14ac:dyDescent="0.25">
      <c r="C32" s="11"/>
      <c r="E32" s="11"/>
      <c r="J32" s="2"/>
      <c r="W32" s="2"/>
    </row>
    <row r="33" spans="1:10" x14ac:dyDescent="0.25">
      <c r="A33" s="11"/>
    </row>
    <row r="34" spans="1:10" x14ac:dyDescent="0.25">
      <c r="B34" s="11"/>
      <c r="J34" s="8"/>
    </row>
    <row r="35" spans="1:10" x14ac:dyDescent="0.25">
      <c r="B35" s="11"/>
    </row>
    <row r="37" spans="1:10" x14ac:dyDescent="0.25">
      <c r="A37" s="11"/>
      <c r="B37" s="5"/>
      <c r="D37" s="11"/>
      <c r="E37" s="11"/>
      <c r="J37" s="6"/>
    </row>
    <row r="38" spans="1:10" x14ac:dyDescent="0.25">
      <c r="A38" s="11"/>
      <c r="B38" s="5"/>
      <c r="D38" s="11"/>
      <c r="E38" s="11"/>
      <c r="J38" s="6"/>
    </row>
    <row r="40" spans="1:10" x14ac:dyDescent="0.25">
      <c r="J40" s="6"/>
    </row>
    <row r="41" spans="1:10" x14ac:dyDescent="0.25">
      <c r="J41" s="7"/>
    </row>
    <row r="42" spans="1:10" x14ac:dyDescent="0.25">
      <c r="J42" s="6"/>
    </row>
    <row r="44" spans="1:10" x14ac:dyDescent="0.25">
      <c r="J44" s="9"/>
    </row>
  </sheetData>
  <customSheetViews>
    <customSheetView guid="{8BD24DD2-71C2-4877-804B-92D7756C8286}" scale="75" showPageBreaks="1" state="hidden" showRuler="0">
      <pane xSplit="4" ySplit="5" topLeftCell="E6" activePane="bottomRight" state="frozen"/>
      <selection pane="bottomRight" activeCell="D1" sqref="D1"/>
      <pageMargins left="0.35433070866141736" right="0.35433070866141736" top="0.98425196850393704" bottom="0.98425196850393704" header="0.51181102362204722" footer="0.70866141732283472"/>
      <printOptions horizontalCentered="1"/>
      <pageSetup paperSize="9" orientation="portrait" horizontalDpi="4294967292" r:id="rId1"/>
      <headerFooter alignWithMargins="0">
        <oddHeader>&amp;L&amp;"Times New Roman,Bold"&amp;16LATU&amp;R&amp;"Times New Roman,Bold"&amp;16LONDON TAXICARD SCHEME&amp;12
LATEST SERVICE STATISTICS</oddHeader>
        <oddFooter>&amp;L&amp;"Times New Roman,Italic"&amp;8&amp;F   &amp;D&amp;R&amp;"Times New Roman,Bold"&amp;11Queries: Please telephone Suzannah Herbert 0181 748 7272</oddFooter>
      </headerFooter>
    </customSheetView>
    <customSheetView guid="{F6C7DB61-DA65-4B92-B84A-F7F617F7AFA3}" scale="75" state="hidden" showRuler="0">
      <pane xSplit="4" ySplit="5" topLeftCell="E6" activePane="bottomRight" state="frozen"/>
      <selection pane="bottomRight" activeCell="D1" sqref="D1"/>
      <pageMargins left="0.35433070866141736" right="0.35433070866141736" top="0.98425196850393704" bottom="0.98425196850393704" header="0.51181102362204722" footer="0.70866141732283472"/>
      <printOptions horizontalCentered="1"/>
      <pageSetup paperSize="9" orientation="portrait" horizontalDpi="4294967292" r:id="rId2"/>
      <headerFooter alignWithMargins="0">
        <oddHeader>&amp;L&amp;"Times New Roman,Bold"&amp;16LATU&amp;R&amp;"Times New Roman,Bold"&amp;16LONDON TAXICARD SCHEME&amp;12
LATEST SERVICE STATISTICS</oddHeader>
        <oddFooter>&amp;L&amp;"Times New Roman,Italic"&amp;8&amp;F   &amp;D&amp;R&amp;"Times New Roman,Bold"&amp;11Queries: Please telephone Suzannah Herbert 0181 748 7272</oddFooter>
      </headerFooter>
    </customSheetView>
    <customSheetView guid="{C6861A0E-2265-4470-98A5-8B12149A9AFA}" scale="75" state="hidden" showRuler="0">
      <pane xSplit="4" ySplit="5" topLeftCell="E6" activePane="bottomRight" state="frozen"/>
      <selection pane="bottomRight" activeCell="D1" sqref="D1"/>
      <pageMargins left="0.35433070866141736" right="0.35433070866141736" top="0.98425196850393704" bottom="0.98425196850393704" header="0.51181102362204722" footer="0.70866141732283472"/>
      <printOptions horizontalCentered="1"/>
      <pageSetup paperSize="9" orientation="portrait" horizontalDpi="4294967292" r:id="rId3"/>
      <headerFooter alignWithMargins="0">
        <oddHeader>&amp;L&amp;"Times New Roman,Bold"&amp;16LATU&amp;R&amp;"Times New Roman,Bold"&amp;16LONDON TAXICARD SCHEME&amp;12
LATEST SERVICE STATISTICS</oddHeader>
        <oddFooter>&amp;L&amp;"Times New Roman,Italic"&amp;8&amp;F   &amp;D&amp;R&amp;"Times New Roman,Bold"&amp;11Queries: Please telephone Suzannah Herbert 0181 748 7272</oddFooter>
      </headerFooter>
    </customSheetView>
    <customSheetView guid="{9816F32E-D80F-41D4-8A58-E0F6E97FF330}" scale="75" showPageBreaks="1" state="hidden" showRuler="0">
      <pane xSplit="4" ySplit="5" topLeftCell="E6" activePane="bottomRight" state="frozen"/>
      <selection pane="bottomRight" activeCell="D1" sqref="D1"/>
      <pageMargins left="0.35433070866141736" right="0.35433070866141736" top="0.98425196850393704" bottom="0.98425196850393704" header="0.51181102362204722" footer="0.70866141732283472"/>
      <printOptions horizontalCentered="1"/>
      <pageSetup paperSize="9" orientation="portrait" horizontalDpi="4294967292" r:id="rId4"/>
      <headerFooter alignWithMargins="0">
        <oddHeader>&amp;L&amp;"Times New Roman,Bold"&amp;16LATU&amp;R&amp;"Times New Roman,Bold"&amp;16LONDON TAXICARD SCHEME&amp;12
LATEST SERVICE STATISTICS</oddHeader>
        <oddFooter>&amp;L&amp;"Times New Roman,Italic"&amp;8&amp;F   &amp;D&amp;R&amp;"Times New Roman,Bold"&amp;11Queries: Please telephone Suzannah Herbert 0181 748 7272</oddFooter>
      </headerFooter>
    </customSheetView>
    <customSheetView guid="{D0D00813-2644-11D4-B451-006008453C39}" scale="75" showPageBreaks="1" state="hidden" showRuler="0">
      <pane xSplit="4" ySplit="5" topLeftCell="E6" activePane="bottomRight" state="frozen"/>
      <selection pane="bottomRight" activeCell="D1" sqref="D1"/>
      <pageMargins left="0.35433070866141736" right="0.35433070866141736" top="0.98425196850393704" bottom="0.98425196850393704" header="0.51181102362204722" footer="0.70866141732283472"/>
      <printOptions horizontalCentered="1"/>
      <pageSetup paperSize="9" orientation="portrait" horizontalDpi="4294967292" r:id="rId5"/>
      <headerFooter alignWithMargins="0">
        <oddHeader>&amp;L&amp;"Times New Roman,Bold"&amp;16LATU&amp;R&amp;"Times New Roman,Bold"&amp;16LONDON TAXICARD SCHEME&amp;12
LATEST SERVICE STATISTICS</oddHeader>
        <oddFooter>&amp;L&amp;"Times New Roman,Italic"&amp;8&amp;F   &amp;D&amp;R&amp;"Times New Roman,Bold"&amp;11Queries: Please telephone Suzannah Herbert 0181 748 7272</oddFooter>
      </headerFooter>
    </customSheetView>
    <customSheetView guid="{7931A6C7-0C37-4E86-9551-0B8D9FE2E81B}" scale="75" state="hidden" showRuler="0">
      <pane xSplit="4" ySplit="5" topLeftCell="E6" activePane="bottomRight" state="frozen"/>
      <selection pane="bottomRight" activeCell="D1" sqref="D1"/>
      <pageMargins left="0.35433070866141736" right="0.35433070866141736" top="0.98425196850393704" bottom="0.98425196850393704" header="0.51181102362204722" footer="0.70866141732283472"/>
      <printOptions horizontalCentered="1"/>
      <pageSetup paperSize="9" orientation="portrait" horizontalDpi="4294967292" r:id="rId6"/>
      <headerFooter alignWithMargins="0">
        <oddHeader>&amp;L&amp;"Times New Roman,Bold"&amp;16LATU&amp;R&amp;"Times New Roman,Bold"&amp;16LONDON TAXICARD SCHEME&amp;12
LATEST SERVICE STATISTICS</oddHeader>
        <oddFooter>&amp;L&amp;"Times New Roman,Italic"&amp;8&amp;F   &amp;D&amp;R&amp;"Times New Roman,Bold"&amp;11Queries: Please telephone Suzannah Herbert 0181 748 7272</oddFooter>
      </headerFooter>
    </customSheetView>
    <customSheetView guid="{A0A1B6E4-1DF6-11D4-8D6C-EB17C7E9EF32}" scale="75" state="hidden" showRuler="0">
      <pane xSplit="4" ySplit="5" topLeftCell="E6" activePane="bottomRight" state="frozen"/>
      <selection pane="bottomRight" activeCell="D1" sqref="D1"/>
      <pageMargins left="0.35433070866141736" right="0.35433070866141736" top="0.98425196850393704" bottom="0.98425196850393704" header="0.51181102362204722" footer="0.70866141732283472"/>
      <printOptions horizontalCentered="1"/>
      <pageSetup paperSize="9" orientation="portrait" horizontalDpi="4294967292" verticalDpi="0" r:id="rId7"/>
      <headerFooter alignWithMargins="0">
        <oddHeader>&amp;L&amp;"Times New Roman,Bold"&amp;16LATU&amp;R&amp;"Times New Roman,Bold"&amp;16LONDON TAXICARD SCHEME&amp;12
LATEST SERVICE STATISTICS</oddHeader>
        <oddFooter>&amp;L&amp;"Times New Roman,Italic"&amp;8&amp;F   &amp;D&amp;R&amp;"Times New Roman,Bold"&amp;11Queries: Please telephone Suzannah Herbert 0181 748 7272</oddFooter>
      </headerFooter>
    </customSheetView>
    <customSheetView guid="{E1A82BD3-8422-11D6-9150-006008453A36}" scale="75" showPageBreaks="1" state="hidden" showRuler="0">
      <pane xSplit="4" ySplit="5" topLeftCell="E6" activePane="bottomRight" state="frozen"/>
      <selection pane="bottomRight" activeCell="D1" sqref="D1"/>
      <pageMargins left="0.35433070866141736" right="0.35433070866141736" top="0.98425196850393704" bottom="0.98425196850393704" header="0.51181102362204722" footer="0.70866141732283472"/>
      <printOptions horizontalCentered="1"/>
      <pageSetup paperSize="9" orientation="portrait" horizontalDpi="4294967292" r:id="rId8"/>
      <headerFooter alignWithMargins="0">
        <oddHeader>&amp;L&amp;"Times New Roman,Bold"&amp;16LATU&amp;R&amp;"Times New Roman,Bold"&amp;16LONDON TAXICARD SCHEME&amp;12
LATEST SERVICE STATISTICS</oddHeader>
        <oddFooter>&amp;L&amp;"Times New Roman,Italic"&amp;8&amp;F   &amp;D&amp;R&amp;"Times New Roman,Bold"&amp;11Queries: Please telephone Suzannah Herbert 0181 748 7272</oddFooter>
      </headerFooter>
    </customSheetView>
    <customSheetView guid="{8F0D6493-DB9F-4278-BADC-D4F224592E59}" scale="75" state="hidden" showRuler="0">
      <pane xSplit="4" ySplit="5" topLeftCell="E6" activePane="bottomRight" state="frozen"/>
      <selection pane="bottomRight" activeCell="D1" sqref="D1"/>
      <pageMargins left="0.35433070866141736" right="0.35433070866141736" top="0.98425196850393704" bottom="0.98425196850393704" header="0.51181102362204722" footer="0.70866141732283472"/>
      <printOptions horizontalCentered="1"/>
      <pageSetup paperSize="9" orientation="portrait" horizontalDpi="4294967292" r:id="rId9"/>
      <headerFooter alignWithMargins="0">
        <oddHeader>&amp;L&amp;"Times New Roman,Bold"&amp;16LATU&amp;R&amp;"Times New Roman,Bold"&amp;16LONDON TAXICARD SCHEME&amp;12
LATEST SERVICE STATISTICS</oddHeader>
        <oddFooter>&amp;L&amp;"Times New Roman,Italic"&amp;8&amp;F   &amp;D&amp;R&amp;"Times New Roman,Bold"&amp;11Queries: Please telephone Suzannah Herbert 0181 748 7272</oddFooter>
      </headerFooter>
    </customSheetView>
    <customSheetView guid="{9DB70752-1F33-48AF-ADCF-28688D9C33B6}" scale="75" showPageBreaks="1" state="hidden" showRuler="0">
      <pane xSplit="4" ySplit="5" topLeftCell="E6" activePane="bottomRight" state="frozen"/>
      <selection pane="bottomRight" activeCell="D1" sqref="D1"/>
      <pageMargins left="0.35433070866141736" right="0.35433070866141736" top="0.98425196850393704" bottom="0.98425196850393704" header="0.51181102362204722" footer="0.70866141732283472"/>
      <printOptions horizontalCentered="1"/>
      <pageSetup paperSize="9" orientation="portrait" horizontalDpi="4294967292" r:id="rId10"/>
      <headerFooter alignWithMargins="0">
        <oddHeader>&amp;L&amp;"Times New Roman,Bold"&amp;16LATU&amp;R&amp;"Times New Roman,Bold"&amp;16LONDON TAXICARD SCHEME&amp;12
LATEST SERVICE STATISTICS</oddHeader>
        <oddFooter>&amp;L&amp;"Times New Roman,Italic"&amp;8&amp;F   &amp;D&amp;R&amp;"Times New Roman,Bold"&amp;11Queries: Please telephone Suzannah Herbert 0181 748 7272</oddFooter>
      </headerFooter>
    </customSheetView>
    <customSheetView guid="{1BBDAD61-F2C9-11D4-89AE-006008453A41}" scale="75" showPageBreaks="1" state="hidden" showRuler="0">
      <pane xSplit="4" ySplit="5" topLeftCell="E6" activePane="bottomRight" state="frozen"/>
      <selection pane="bottomRight" activeCell="D1" sqref="D1"/>
      <pageMargins left="0.35433070866141736" right="0.35433070866141736" top="0.98425196850393704" bottom="0.98425196850393704" header="0.51181102362204722" footer="0.70866141732283472"/>
      <printOptions horizontalCentered="1"/>
      <pageSetup paperSize="9" orientation="portrait" horizontalDpi="4294967292" r:id="rId11"/>
      <headerFooter alignWithMargins="0">
        <oddHeader>&amp;L&amp;"Times New Roman,Bold"&amp;16LATU&amp;R&amp;"Times New Roman,Bold"&amp;16LONDON TAXICARD SCHEME&amp;12
LATEST SERVICE ὓ:ATISTICS</oddHeader>
        <oddFooter>&amp;L&amp;"Times New Roman,Italic"&amp;8&amp;F   &amp;D&amp;R&amp;"Times New Roman,Bold"&amp;11Queries: Please telephone Suzannah Herbert 0181 748 7272</oddFooter>
      </headerFooter>
    </customSheetView>
    <customSheetView guid="{00354E9F-DD97-4482-9702-3202D73AD0E2}" scale="75" state="hidden" showRuler="0">
      <pane xSplit="4" ySplit="5" topLeftCell="E6" activePane="bottomRight" state="frozen"/>
      <selection pane="bottomRight" activeCell="D1" sqref="D1"/>
      <pageMargins left="0.35433070866141736" right="0.35433070866141736" top="0.98425196850393704" bottom="0.98425196850393704" header="0.51181102362204722" footer="0.70866141732283472"/>
      <printOptions horizontalCentered="1"/>
      <pageSetup paperSize="9" orientation="portrait" horizontalDpi="4294967292" r:id="rId12"/>
      <headerFooter alignWithMargins="0">
        <oddHeader>&amp;L&amp;"Times New Roman,Bold"&amp;16LATU&amp;R&amp;"Times New Roman,Bold"&amp;16LONDON TAXICARD SCHEME&amp;12
LATEST SERVICE STATISTICS</oddHeader>
        <oddFooter>&amp;L&amp;"Times New Roman,Italic"&amp;8&amp;F   &amp;D&amp;R&amp;"Times New Roman,Bold"&amp;11Queries: Please telephone Suzannah Herbert 0181 748 7272</oddFooter>
      </headerFooter>
    </customSheetView>
    <customSheetView guid="{53E54750-EB7B-4534-9E39-36B4D05ACAEB}" scale="75" state="hidden" showRuler="0">
      <pane xSplit="4" ySplit="5" topLeftCell="E6" activePane="bottomRight" state="frozen"/>
      <selection pane="bottomRight" activeCell="D1" sqref="D1"/>
      <pageMargins left="0.35433070866141736" right="0.35433070866141736" top="0.98425196850393704" bottom="0.98425196850393704" header="0.51181102362204722" footer="0.70866141732283472"/>
      <printOptions horizontalCentered="1"/>
      <pageSetup paperSize="9" orientation="portrait" horizontalDpi="4294967292" r:id="rId13"/>
      <headerFooter alignWithMargins="0">
        <oddHeader>&amp;L&amp;"Times New Roman,Bold"&amp;16LATU&amp;R&amp;"Times New Roman,Bold"&amp;16LONDON TAXICARD SCHEME&amp;12
LATEST SERVICE STATISTICS</oddHeader>
        <oddFooter>&amp;L&amp;"Times New Roman,Italic"&amp;8&amp;F   &amp;D&amp;R&amp;"Times New Roman,Bold"&amp;11Queries: Please telephone Suzannah Herbert 0181 748 7272</oddFooter>
      </headerFooter>
    </customSheetView>
    <customSheetView guid="{A9DEFEA3-D23F-4755-A477-C77D98287ADE}" scale="75" state="hidden" showRuler="0">
      <pane xSplit="4" ySplit="5" topLeftCell="E6" activePane="bottomRight" state="frozen"/>
      <selection pane="bottomRight" activeCell="D1" sqref="D1"/>
      <pageMargins left="0.35433070866141736" right="0.35433070866141736" top="0.98425196850393704" bottom="0.98425196850393704" header="0.51181102362204722" footer="0.70866141732283472"/>
      <printOptions horizontalCentered="1"/>
      <pageSetup paperSize="9" orientation="portrait" horizontalDpi="4294967292" r:id="rId14"/>
      <headerFooter alignWithMargins="0">
        <oddHeader>&amp;L&amp;"Times New Roman,Bold"&amp;16LATU&amp;R&amp;"Times New Roman,Bold"&amp;16LONDON TAXICARD SCHEME&amp;12
LATEST SERVICE STATISTICS</oddHeader>
        <oddFooter>&amp;L&amp;"Times New Roman,Italic"&amp;8&amp;F   &amp;D&amp;R&amp;"Times New Roman,Bold"&amp;11Queries: Please telephone Suzannah Herbert 0181 748 7272</oddFooter>
      </headerFooter>
    </customSheetView>
  </customSheetViews>
  <phoneticPr fontId="0" type="noConversion"/>
  <printOptions horizontalCentered="1"/>
  <pageMargins left="0.35433070866141736" right="0.35433070866141736" top="0.98425196850393704" bottom="0.98425196850393704" header="0.51181102362204722" footer="0.70866141732283472"/>
  <pageSetup paperSize="9" orientation="portrait" horizontalDpi="4294967292" r:id="rId15"/>
  <headerFooter alignWithMargins="0">
    <oddHeader>&amp;L&amp;"Times New Roman,Bold"&amp;16LATU&amp;R&amp;"Times New Roman,Bold"&amp;16LONDON TAXICARD SCHEME&amp;12
LATEST SERVICE STATISTICS</oddHeader>
    <oddFooter>&amp;L&amp;"Times New Roman,Italic"&amp;8&amp;F   &amp;D&amp;R&amp;"Times New Roman,Bold"&amp;11Queries: Please telephone Suzannah Herbert 0181 748 7272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3">
    <pageSetUpPr fitToPage="1"/>
  </sheetPr>
  <dimension ref="A1:S1430"/>
  <sheetViews>
    <sheetView showGridLines="0" tabSelected="1" topLeftCell="A1386" zoomScale="85" zoomScaleNormal="85" zoomScaleSheetLayoutView="75" workbookViewId="0">
      <selection activeCell="U1407" sqref="U1407"/>
    </sheetView>
  </sheetViews>
  <sheetFormatPr defaultColWidth="9.1640625" defaultRowHeight="15.75" customHeight="1" x14ac:dyDescent="0.2"/>
  <cols>
    <col min="1" max="1" width="5.33203125" style="18" customWidth="1"/>
    <col min="2" max="2" width="9.1640625" style="18"/>
    <col min="3" max="3" width="41.83203125" style="18" customWidth="1"/>
    <col min="4" max="6" width="13.83203125" style="24" bestFit="1" customWidth="1"/>
    <col min="7" max="7" width="11" style="24" bestFit="1" customWidth="1"/>
    <col min="8" max="8" width="10.1640625" style="24" bestFit="1" customWidth="1"/>
    <col min="9" max="10" width="12.6640625" style="24" customWidth="1"/>
    <col min="11" max="11" width="11.5" style="24" customWidth="1"/>
    <col min="12" max="12" width="9.33203125" style="24" bestFit="1" customWidth="1"/>
    <col min="13" max="13" width="12.6640625" style="24" customWidth="1"/>
    <col min="14" max="14" width="9.33203125" style="24" bestFit="1" customWidth="1"/>
    <col min="15" max="16" width="12.83203125" style="24" customWidth="1"/>
    <col min="17" max="17" width="13.33203125" style="24" customWidth="1"/>
    <col min="18" max="18" width="12" customWidth="1"/>
    <col min="19" max="19" width="13" style="18" customWidth="1"/>
    <col min="20" max="20" width="9.83203125" style="18" customWidth="1"/>
    <col min="21" max="21" width="10.5" style="18" customWidth="1"/>
    <col min="22" max="16384" width="9.1640625" style="18"/>
  </cols>
  <sheetData>
    <row r="1" spans="2:18" x14ac:dyDescent="0.25">
      <c r="B1" s="158" t="s">
        <v>39</v>
      </c>
      <c r="C1" s="159"/>
      <c r="D1" s="32" t="s">
        <v>0</v>
      </c>
      <c r="E1" s="20" t="s">
        <v>1</v>
      </c>
      <c r="F1" s="20" t="s">
        <v>2</v>
      </c>
      <c r="G1" s="20" t="s">
        <v>3</v>
      </c>
      <c r="H1" s="20" t="s">
        <v>4</v>
      </c>
      <c r="I1" s="20" t="s">
        <v>5</v>
      </c>
      <c r="J1" s="20" t="s">
        <v>6</v>
      </c>
      <c r="K1" s="20" t="s">
        <v>7</v>
      </c>
      <c r="L1" s="20" t="s">
        <v>8</v>
      </c>
      <c r="M1" s="20" t="s">
        <v>9</v>
      </c>
      <c r="N1" s="20" t="s">
        <v>10</v>
      </c>
      <c r="O1" s="33" t="s">
        <v>11</v>
      </c>
      <c r="P1" s="35" t="s">
        <v>12</v>
      </c>
      <c r="Q1" s="160" t="s">
        <v>104</v>
      </c>
    </row>
    <row r="2" spans="2:18" ht="16.5" thickBot="1" x14ac:dyDescent="0.3">
      <c r="B2" s="162" t="s">
        <v>75</v>
      </c>
      <c r="C2" s="163"/>
      <c r="D2" s="34">
        <v>2020</v>
      </c>
      <c r="E2" s="34">
        <v>2020</v>
      </c>
      <c r="F2" s="34">
        <v>2020</v>
      </c>
      <c r="G2" s="34">
        <v>2020</v>
      </c>
      <c r="H2" s="34">
        <v>2020</v>
      </c>
      <c r="I2" s="34">
        <v>2020</v>
      </c>
      <c r="J2" s="34">
        <v>2020</v>
      </c>
      <c r="K2" s="34">
        <v>2020</v>
      </c>
      <c r="L2" s="34">
        <v>2020</v>
      </c>
      <c r="M2" s="25">
        <v>2021</v>
      </c>
      <c r="N2" s="25">
        <v>2021</v>
      </c>
      <c r="O2" s="25">
        <v>2021</v>
      </c>
      <c r="P2" s="36" t="s">
        <v>122</v>
      </c>
      <c r="Q2" s="161"/>
    </row>
    <row r="3" spans="2:18" ht="12.75" customHeight="1" thickBot="1" x14ac:dyDescent="0.25">
      <c r="B3" s="164" t="s">
        <v>38</v>
      </c>
      <c r="C3" s="165"/>
      <c r="D3" s="42">
        <f>VLOOKUP($B2,[1]Complaints!$A$4:$AJ$39,2,)</f>
        <v>167</v>
      </c>
      <c r="E3" s="43">
        <f>VLOOKUP($B2,[2]Complaints!$A$4:$AJ$39,2,)</f>
        <v>257</v>
      </c>
      <c r="F3" s="43">
        <f>VLOOKUP($B2,[3]Complaints!$A$4:$AJ$39,2)</f>
        <v>422</v>
      </c>
      <c r="G3" s="43">
        <f>VLOOKUP($B2,[4]Complaints!$A$4:$AJ$39,2)</f>
        <v>711</v>
      </c>
      <c r="H3" s="43">
        <f>VLOOKUP($B2,[5]Complaints!$A$4:$AJ$39,2)</f>
        <v>867</v>
      </c>
      <c r="I3" s="43">
        <f>VLOOKUP($B2,[6]Complaints!$A$4:$AJ$39,2)</f>
        <v>1018</v>
      </c>
      <c r="J3" s="43">
        <f>VLOOKUP($B2,[7]Complaints!$A$4:$AJ$39,2)</f>
        <v>927</v>
      </c>
      <c r="K3" s="43">
        <f>VLOOKUP($B2,[8]Complaints!$A$4:$AJ$39,2)</f>
        <v>927</v>
      </c>
      <c r="L3" s="43">
        <f>VLOOKUP($B2,[9]Complaints!$A$4:$AJ$39,2)</f>
        <v>771</v>
      </c>
      <c r="M3" s="43">
        <f>VLOOKUP($B2,[10]Complaints!$A$4:$AJ$39,2)</f>
        <v>450</v>
      </c>
      <c r="N3" s="43">
        <f>VLOOKUP($B2,[11]Complaints!$A$4:$AJ$39,2)</f>
        <v>0</v>
      </c>
      <c r="O3" s="44">
        <f>VLOOKUP($B2,[12]Complaints!$A$4:$AJ$39,2)</f>
        <v>0</v>
      </c>
      <c r="P3" s="45">
        <f>SUM(D3:O3)</f>
        <v>6517</v>
      </c>
      <c r="Q3" s="46"/>
      <c r="R3" s="18"/>
    </row>
    <row r="4" spans="2:18" ht="15.75" customHeight="1" x14ac:dyDescent="0.2">
      <c r="B4" s="166" t="s">
        <v>94</v>
      </c>
      <c r="C4" s="167"/>
      <c r="D4" s="47">
        <f>VLOOKUP($B2,[1]Complaints!$A$4:$AF$39,3,)</f>
        <v>0</v>
      </c>
      <c r="E4" s="48">
        <f>VLOOKUP($B2,[2]Complaints!$A$4:$AF$39,3,)</f>
        <v>0</v>
      </c>
      <c r="F4" s="48">
        <f>VLOOKUP($B2,[3]Complaints!$A$4:$AG$39,3,)</f>
        <v>0</v>
      </c>
      <c r="G4" s="48">
        <f>VLOOKUP($B2,[4]Complaints!$A$4:$AG$39,3,)</f>
        <v>1</v>
      </c>
      <c r="H4" s="48">
        <f>VLOOKUP($B2,[5]Complaints!$A$4:$AG$39,3,)</f>
        <v>0</v>
      </c>
      <c r="I4" s="48">
        <f>VLOOKUP($B2,[6]Complaints!$A$4:$AG$39,3,)</f>
        <v>1</v>
      </c>
      <c r="J4" s="48">
        <f>VLOOKUP($B2,[7]Complaints!$A$4:$AG$39,3,)</f>
        <v>1</v>
      </c>
      <c r="K4" s="48">
        <f>VLOOKUP($B2,[8]Complaints!$A$4:$AG$39,3,)</f>
        <v>1</v>
      </c>
      <c r="L4" s="48">
        <f>VLOOKUP($B2,[9]Complaints!$A$4:$AG$39,3,)</f>
        <v>0</v>
      </c>
      <c r="M4" s="48">
        <f>VLOOKUP($B2,[10]Complaints!$A$4:$AG$39,3,)</f>
        <v>0</v>
      </c>
      <c r="N4" s="48">
        <f>VLOOKUP($B2,[11]Complaints!$A$4:$AG$39,3,)</f>
        <v>0</v>
      </c>
      <c r="O4" s="49">
        <f>VLOOKUP($B2,[12]Complaints!$A$4:$AG$39,3,)</f>
        <v>0</v>
      </c>
      <c r="P4" s="45">
        <f>SUM(D4:O4)</f>
        <v>4</v>
      </c>
      <c r="Q4" s="50"/>
      <c r="R4" s="18"/>
    </row>
    <row r="5" spans="2:18" ht="15.75" customHeight="1" x14ac:dyDescent="0.2">
      <c r="B5" s="26"/>
      <c r="C5" s="28" t="s">
        <v>102</v>
      </c>
      <c r="D5" s="51">
        <f>IF(D3=0,"",D4/D3)</f>
        <v>0</v>
      </c>
      <c r="E5" s="52">
        <f t="shared" ref="E5:O5" si="0">IF(E3=0,"",E4/E3)</f>
        <v>0</v>
      </c>
      <c r="F5" s="52">
        <f t="shared" si="0"/>
        <v>0</v>
      </c>
      <c r="G5" s="52">
        <f t="shared" si="0"/>
        <v>1.4064697609001407E-3</v>
      </c>
      <c r="H5" s="52">
        <f t="shared" si="0"/>
        <v>0</v>
      </c>
      <c r="I5" s="52">
        <f t="shared" si="0"/>
        <v>9.8231827111984276E-4</v>
      </c>
      <c r="J5" s="52">
        <f t="shared" si="0"/>
        <v>1.0787486515641855E-3</v>
      </c>
      <c r="K5" s="52">
        <f t="shared" si="0"/>
        <v>1.0787486515641855E-3</v>
      </c>
      <c r="L5" s="52">
        <f t="shared" si="0"/>
        <v>0</v>
      </c>
      <c r="M5" s="52">
        <f t="shared" si="0"/>
        <v>0</v>
      </c>
      <c r="N5" s="52" t="str">
        <f t="shared" si="0"/>
        <v/>
      </c>
      <c r="O5" s="53" t="str">
        <f t="shared" si="0"/>
        <v/>
      </c>
      <c r="P5" s="54">
        <f>IF(P4="","",P4/P3)</f>
        <v>6.1377934632499619E-4</v>
      </c>
      <c r="Q5" s="50"/>
      <c r="R5" s="18"/>
    </row>
    <row r="6" spans="2:18" s="21" customFormat="1" ht="15.75" customHeight="1" x14ac:dyDescent="0.2">
      <c r="B6" s="155" t="s">
        <v>95</v>
      </c>
      <c r="C6" s="156"/>
      <c r="D6" s="47">
        <f>VLOOKUP($B2,[1]Complaints!$A$4:$AF$39,4,)</f>
        <v>0</v>
      </c>
      <c r="E6" s="48">
        <f>VLOOKUP($B2,[2]Complaints!$A$4:$AF$39,4,)</f>
        <v>0</v>
      </c>
      <c r="F6" s="48">
        <f>VLOOKUP($B2,[3]Complaints!$A$4:$AG$39,4,)</f>
        <v>0</v>
      </c>
      <c r="G6" s="48">
        <f>VLOOKUP($B2,[4]Complaints!$A$4:$AG$39,4,)</f>
        <v>0</v>
      </c>
      <c r="H6" s="48">
        <f>VLOOKUP($B2,[5]Complaints!$A$4:$AG$39,4,)</f>
        <v>0</v>
      </c>
      <c r="I6" s="48">
        <f>VLOOKUP($B2,[6]Complaints!$A$4:$AG$39,4,)</f>
        <v>0</v>
      </c>
      <c r="J6" s="48">
        <f>VLOOKUP($B2,[7]Complaints!$A$4:$AG$39,4,)</f>
        <v>0</v>
      </c>
      <c r="K6" s="48">
        <f>VLOOKUP($B2,[8]Complaints!$A$4:$AG$39,4,)</f>
        <v>0</v>
      </c>
      <c r="L6" s="48">
        <f>VLOOKUP($B2,[9]Complaints!$A$4:$AG$39,4,)</f>
        <v>0</v>
      </c>
      <c r="M6" s="48">
        <f>VLOOKUP($B2,[10]Complaints!$A$4:$AG$39,4,)</f>
        <v>0</v>
      </c>
      <c r="N6" s="48">
        <f>VLOOKUP($B2,[11]Complaints!$A$4:$AG$39,4,)</f>
        <v>0</v>
      </c>
      <c r="O6" s="49">
        <f>VLOOKUP($B2,[12]Complaints!$A$4:$AG$39,4,)</f>
        <v>0</v>
      </c>
      <c r="P6" s="55">
        <f t="shared" ref="P6:P10" si="1">SUM(D6:O6)</f>
        <v>0</v>
      </c>
      <c r="Q6" s="50"/>
    </row>
    <row r="7" spans="2:18" ht="15.75" customHeight="1" x14ac:dyDescent="0.2">
      <c r="B7" s="26"/>
      <c r="C7" s="28" t="s">
        <v>98</v>
      </c>
      <c r="D7" s="51">
        <f>IF(D3=0,"",D6/D3)</f>
        <v>0</v>
      </c>
      <c r="E7" s="52">
        <f t="shared" ref="E7:O7" si="2">IF(E3=0,"",E6/E3)</f>
        <v>0</v>
      </c>
      <c r="F7" s="52">
        <f t="shared" si="2"/>
        <v>0</v>
      </c>
      <c r="G7" s="52">
        <f t="shared" si="2"/>
        <v>0</v>
      </c>
      <c r="H7" s="52">
        <f t="shared" si="2"/>
        <v>0</v>
      </c>
      <c r="I7" s="52">
        <f t="shared" si="2"/>
        <v>0</v>
      </c>
      <c r="J7" s="52">
        <f t="shared" si="2"/>
        <v>0</v>
      </c>
      <c r="K7" s="52">
        <f t="shared" si="2"/>
        <v>0</v>
      </c>
      <c r="L7" s="52">
        <f t="shared" si="2"/>
        <v>0</v>
      </c>
      <c r="M7" s="52">
        <f t="shared" si="2"/>
        <v>0</v>
      </c>
      <c r="N7" s="52" t="str">
        <f t="shared" si="2"/>
        <v/>
      </c>
      <c r="O7" s="53" t="str">
        <f t="shared" si="2"/>
        <v/>
      </c>
      <c r="P7" s="54">
        <f>IF(P6="","",P6/P3)</f>
        <v>0</v>
      </c>
      <c r="Q7" s="50"/>
      <c r="R7" s="18"/>
    </row>
    <row r="8" spans="2:18" ht="15.75" customHeight="1" x14ac:dyDescent="0.2">
      <c r="B8" s="155" t="s">
        <v>96</v>
      </c>
      <c r="C8" s="156"/>
      <c r="D8" s="47">
        <f>VLOOKUP($B2,[1]Complaints!$A$4:$AF$39,5,)</f>
        <v>0</v>
      </c>
      <c r="E8" s="48">
        <f>VLOOKUP($B2,[2]Complaints!$A$4:$AF$39,5,)</f>
        <v>0</v>
      </c>
      <c r="F8" s="48">
        <f>VLOOKUP($B2,[3]Complaints!$A$4:$AG$39,5,)</f>
        <v>0</v>
      </c>
      <c r="G8" s="48">
        <f>VLOOKUP($B2,[4]Complaints!$A$4:$AG$39,5,)</f>
        <v>1</v>
      </c>
      <c r="H8" s="48">
        <f>VLOOKUP($B2,[5]Complaints!$A$4:$AG$39,5,)</f>
        <v>0</v>
      </c>
      <c r="I8" s="48">
        <f>VLOOKUP($B2,[6]Complaints!$A$4:$AG$39,5,)</f>
        <v>1</v>
      </c>
      <c r="J8" s="48">
        <f>VLOOKUP($B2,[7]Complaints!$A$4:$AG$39,5,)</f>
        <v>1</v>
      </c>
      <c r="K8" s="48">
        <f>VLOOKUP($B2,[8]Complaints!$A$4:$AG$39,5,)</f>
        <v>1</v>
      </c>
      <c r="L8" s="48">
        <f>VLOOKUP($B2,[9]Complaints!$A$4:$AG$39,5,)</f>
        <v>0</v>
      </c>
      <c r="M8" s="48">
        <f>VLOOKUP($B2,[10]Complaints!$A$4:$AG$39,5,)</f>
        <v>0</v>
      </c>
      <c r="N8" s="48">
        <f>VLOOKUP($B2,[11]Complaints!$A$4:$AG$39,5,)</f>
        <v>0</v>
      </c>
      <c r="O8" s="49">
        <f>VLOOKUP($B2,[12]Complaints!$A$4:$AG$39,5,)</f>
        <v>0</v>
      </c>
      <c r="P8" s="55">
        <f t="shared" si="1"/>
        <v>4</v>
      </c>
      <c r="Q8" s="50"/>
      <c r="R8" s="18"/>
    </row>
    <row r="9" spans="2:18" ht="15.75" customHeight="1" x14ac:dyDescent="0.2">
      <c r="B9" s="26"/>
      <c r="C9" s="28" t="s">
        <v>99</v>
      </c>
      <c r="D9" s="51">
        <f>IF(D3=0,"",D8/D3)</f>
        <v>0</v>
      </c>
      <c r="E9" s="52">
        <f t="shared" ref="E9:O9" si="3">IF(E3=0,"",E8/E3)</f>
        <v>0</v>
      </c>
      <c r="F9" s="52">
        <f t="shared" si="3"/>
        <v>0</v>
      </c>
      <c r="G9" s="52">
        <f t="shared" si="3"/>
        <v>1.4064697609001407E-3</v>
      </c>
      <c r="H9" s="52">
        <f t="shared" si="3"/>
        <v>0</v>
      </c>
      <c r="I9" s="52">
        <f t="shared" si="3"/>
        <v>9.8231827111984276E-4</v>
      </c>
      <c r="J9" s="52">
        <f t="shared" si="3"/>
        <v>1.0787486515641855E-3</v>
      </c>
      <c r="K9" s="52">
        <f t="shared" si="3"/>
        <v>1.0787486515641855E-3</v>
      </c>
      <c r="L9" s="52">
        <f t="shared" si="3"/>
        <v>0</v>
      </c>
      <c r="M9" s="52">
        <f t="shared" si="3"/>
        <v>0</v>
      </c>
      <c r="N9" s="52" t="str">
        <f t="shared" si="3"/>
        <v/>
      </c>
      <c r="O9" s="53" t="str">
        <f t="shared" si="3"/>
        <v/>
      </c>
      <c r="P9" s="54">
        <f>IF(P8="","",P8/P3)</f>
        <v>6.1377934632499619E-4</v>
      </c>
      <c r="Q9" s="50"/>
      <c r="R9" s="18"/>
    </row>
    <row r="10" spans="2:18" ht="15.75" customHeight="1" x14ac:dyDescent="0.2">
      <c r="B10" s="157" t="s">
        <v>97</v>
      </c>
      <c r="C10" s="156"/>
      <c r="D10" s="47">
        <f>VLOOKUP($B2,[1]Complaints!$A$4:$AF$39,6,)</f>
        <v>0</v>
      </c>
      <c r="E10" s="48">
        <f>VLOOKUP($B2,[2]Complaints!$A$4:$AF$39,6,)</f>
        <v>0</v>
      </c>
      <c r="F10" s="48">
        <f>VLOOKUP($B2,[3]Complaints!$A$4:$AG$39,6,)</f>
        <v>0</v>
      </c>
      <c r="G10" s="48">
        <f>VLOOKUP($B2,[4]Complaints!$A$4:$AG$39,6,)</f>
        <v>1</v>
      </c>
      <c r="H10" s="48">
        <f>VLOOKUP($B2,[5]Complaints!$A$4:$AG$39,6,)</f>
        <v>0</v>
      </c>
      <c r="I10" s="48">
        <f>VLOOKUP($B2,[6]Complaints!$A$4:$AG$39,6,)</f>
        <v>1</v>
      </c>
      <c r="J10" s="48">
        <f>VLOOKUP($B2,[7]Complaints!$A$4:$AG$39,6,)</f>
        <v>1</v>
      </c>
      <c r="K10" s="48">
        <f>VLOOKUP($B2,[8]Complaints!$A$4:$AG$39,6,)</f>
        <v>1</v>
      </c>
      <c r="L10" s="48">
        <f>VLOOKUP($B2,[9]Complaints!$A$4:$AG$39,6,)</f>
        <v>0</v>
      </c>
      <c r="M10" s="48">
        <f>VLOOKUP($B2,[10]Complaints!$A$4:$AG$39,6,)</f>
        <v>0</v>
      </c>
      <c r="N10" s="48">
        <f>VLOOKUP($B2,[11]Complaints!$A$4:$AG$39,6,)</f>
        <v>0</v>
      </c>
      <c r="O10" s="49">
        <f>VLOOKUP($B2,[12]Complaints!$A$4:$AG$39,6,)</f>
        <v>0</v>
      </c>
      <c r="P10" s="55">
        <f t="shared" si="1"/>
        <v>4</v>
      </c>
      <c r="Q10" s="50"/>
      <c r="R10" s="18"/>
    </row>
    <row r="11" spans="2:18" ht="15.75" customHeight="1" thickBot="1" x14ac:dyDescent="0.25">
      <c r="B11" s="27"/>
      <c r="C11" s="29" t="s">
        <v>100</v>
      </c>
      <c r="D11" s="56" t="str">
        <f>IF(D10=0,"",D10/D8)</f>
        <v/>
      </c>
      <c r="E11" s="57" t="str">
        <f t="shared" ref="E11:O11" si="4">IF(E10=0,"",E10/E8)</f>
        <v/>
      </c>
      <c r="F11" s="57" t="str">
        <f t="shared" si="4"/>
        <v/>
      </c>
      <c r="G11" s="57">
        <f t="shared" si="4"/>
        <v>1</v>
      </c>
      <c r="H11" s="57" t="str">
        <f t="shared" si="4"/>
        <v/>
      </c>
      <c r="I11" s="57">
        <f>IF(I10=0,"",I10/I8)</f>
        <v>1</v>
      </c>
      <c r="J11" s="57">
        <f t="shared" si="4"/>
        <v>1</v>
      </c>
      <c r="K11" s="57">
        <f t="shared" si="4"/>
        <v>1</v>
      </c>
      <c r="L11" s="57" t="str">
        <f t="shared" si="4"/>
        <v/>
      </c>
      <c r="M11" s="57" t="str">
        <f t="shared" si="4"/>
        <v/>
      </c>
      <c r="N11" s="57" t="str">
        <f t="shared" si="4"/>
        <v/>
      </c>
      <c r="O11" s="58" t="str">
        <f t="shared" si="4"/>
        <v/>
      </c>
      <c r="P11" s="59">
        <f>IF(P10=0,"",P10/P8)</f>
        <v>1</v>
      </c>
      <c r="Q11" s="60"/>
      <c r="R11" s="18"/>
    </row>
    <row r="12" spans="2:18" ht="15.75" customHeight="1" x14ac:dyDescent="0.2">
      <c r="B12" s="168" t="s">
        <v>103</v>
      </c>
      <c r="C12" s="30" t="s">
        <v>77</v>
      </c>
      <c r="D12" s="61">
        <f>VLOOKUP($B2,[1]Complaints!$A$4:$AJ$39,7,)</f>
        <v>0</v>
      </c>
      <c r="E12" s="43">
        <f>VLOOKUP($B2,[2]Complaints!$A$4:$AJ$39,7,)</f>
        <v>0</v>
      </c>
      <c r="F12" s="43">
        <f>VLOOKUP($B2,[3]Complaints!$A$4:$AJ$39,7,)</f>
        <v>0</v>
      </c>
      <c r="G12" s="43">
        <f>VLOOKUP($B2,[4]Complaints!$A$4:$AJ$39,7,)</f>
        <v>0</v>
      </c>
      <c r="H12" s="43">
        <f>VLOOKUP($B2,[5]Complaints!$A$4:$AJ$39,7,)</f>
        <v>0</v>
      </c>
      <c r="I12" s="43">
        <f>VLOOKUP($B2,[6]Complaints!$A$4:$AJ$39,7,)</f>
        <v>0</v>
      </c>
      <c r="J12" s="43">
        <f>VLOOKUP($B2,[7]Complaints!$A$4:$AJ$39,7,)</f>
        <v>0</v>
      </c>
      <c r="K12" s="43">
        <f>VLOOKUP($B2,[8]Complaints!$A$4:$AJ$39,7,)</f>
        <v>0</v>
      </c>
      <c r="L12" s="43">
        <f>VLOOKUP($B2,[9]Complaints!$A$4:$AJ$39,7,)</f>
        <v>0</v>
      </c>
      <c r="M12" s="43">
        <f>VLOOKUP($B2,[10]Complaints!$A$4:$AJ$39,7,)</f>
        <v>0</v>
      </c>
      <c r="N12" s="43">
        <f>VLOOKUP($B2,[11]Complaints!$A$4:$AJ$39,7,)</f>
        <v>0</v>
      </c>
      <c r="O12" s="44">
        <f>VLOOKUP($B2,[12]Complaints!$A$4:$AJ$39,7,)</f>
        <v>0</v>
      </c>
      <c r="P12" s="45">
        <f>SUM(D12:O12)</f>
        <v>0</v>
      </c>
      <c r="Q12" s="46" t="str">
        <f>IF(P12=0,"",P12/$P4)</f>
        <v/>
      </c>
      <c r="R12" s="18"/>
    </row>
    <row r="13" spans="2:18" ht="15.75" customHeight="1" x14ac:dyDescent="0.2">
      <c r="B13" s="169"/>
      <c r="C13" s="31" t="s">
        <v>89</v>
      </c>
      <c r="D13" s="47">
        <f>VLOOKUP($B2,[1]Complaints!$A$4:$AJ$39,8,)</f>
        <v>0</v>
      </c>
      <c r="E13" s="48">
        <f>VLOOKUP($B2,[2]Complaints!$A$4:$AJ$39,8,)</f>
        <v>0</v>
      </c>
      <c r="F13" s="48">
        <f>VLOOKUP($B2,[3]Complaints!$A$4:$AJ$39,8,)</f>
        <v>0</v>
      </c>
      <c r="G13" s="48">
        <f>VLOOKUP($B2,[4]Complaints!$A$4:$AJ$39,8,)</f>
        <v>0</v>
      </c>
      <c r="H13" s="48">
        <f>VLOOKUP($B2,[5]Complaints!$A$4:$AJ$39,8,)</f>
        <v>0</v>
      </c>
      <c r="I13" s="48">
        <f>VLOOKUP($B2,[6]Complaints!$A$4:$AJ$39,8,)</f>
        <v>0</v>
      </c>
      <c r="J13" s="48">
        <f>VLOOKUP($B2,[7]Complaints!$A$4:$AJ$39,8,)</f>
        <v>0</v>
      </c>
      <c r="K13" s="48">
        <f>VLOOKUP($B2,[8]Complaints!$A$4:$AJ$39,8,)</f>
        <v>0</v>
      </c>
      <c r="L13" s="48">
        <f>VLOOKUP($B2,[9]Complaints!$A$4:$AJ$39,8,)</f>
        <v>0</v>
      </c>
      <c r="M13" s="48">
        <f>VLOOKUP($B2,[10]Complaints!$A$4:$AJ$39,8,)</f>
        <v>0</v>
      </c>
      <c r="N13" s="48">
        <f>VLOOKUP($B2,[11]Complaints!$A$4:$AJ$39,8,)</f>
        <v>0</v>
      </c>
      <c r="O13" s="49">
        <f>VLOOKUP($B2,[12]Complaints!$A$4:$AJ$39,8,)</f>
        <v>0</v>
      </c>
      <c r="P13" s="55">
        <f t="shared" ref="P13:P25" si="5">SUM(D13:O13)</f>
        <v>0</v>
      </c>
      <c r="Q13" s="50"/>
      <c r="R13" s="18"/>
    </row>
    <row r="14" spans="2:18" ht="15.75" customHeight="1" x14ac:dyDescent="0.2">
      <c r="B14" s="169"/>
      <c r="C14" s="31" t="s">
        <v>88</v>
      </c>
      <c r="D14" s="47">
        <f>VLOOKUP($B2,[1]Complaints!$A$4:$AJ$39,9,)</f>
        <v>0</v>
      </c>
      <c r="E14" s="48">
        <f>VLOOKUP($B2,[2]Complaints!$A$4:$AJ$39,9,)</f>
        <v>0</v>
      </c>
      <c r="F14" s="48">
        <f>VLOOKUP($B2,[3]Complaints!$A$4:$AJ$39,9,)</f>
        <v>0</v>
      </c>
      <c r="G14" s="48">
        <f>VLOOKUP($B2,[4]Complaints!$A$4:$AJ$39,9,)</f>
        <v>0</v>
      </c>
      <c r="H14" s="48">
        <f>VLOOKUP($B2,[5]Complaints!$A$4:$AJ$39,9,)</f>
        <v>0</v>
      </c>
      <c r="I14" s="48">
        <f>VLOOKUP($B2,[6]Complaints!$A$4:$AJ$39,9,)</f>
        <v>0</v>
      </c>
      <c r="J14" s="48">
        <f>VLOOKUP($B2,[7]Complaints!$A$4:$AJ$39,9,)</f>
        <v>0</v>
      </c>
      <c r="K14" s="48">
        <f>VLOOKUP($B2,[8]Complaints!$A$4:$AJ$39,9,)</f>
        <v>0</v>
      </c>
      <c r="L14" s="48">
        <f>VLOOKUP($B2,[9]Complaints!$A$4:$AJ$39,9,)</f>
        <v>0</v>
      </c>
      <c r="M14" s="48">
        <f>VLOOKUP($B2,[10]Complaints!$A$4:$AJ$39,9,)</f>
        <v>0</v>
      </c>
      <c r="N14" s="48">
        <f>VLOOKUP($B2,[11]Complaints!$A$4:$AJ$39,9,)</f>
        <v>0</v>
      </c>
      <c r="O14" s="49">
        <f>VLOOKUP($B2,[12]Complaints!$A$4:$AJ$39,9,)</f>
        <v>0</v>
      </c>
      <c r="P14" s="55">
        <f t="shared" si="5"/>
        <v>0</v>
      </c>
      <c r="Q14" s="50" t="str">
        <f>IF(P14=0,"",P14/$P4)</f>
        <v/>
      </c>
      <c r="R14" s="18"/>
    </row>
    <row r="15" spans="2:18" ht="15.75" customHeight="1" x14ac:dyDescent="0.2">
      <c r="B15" s="169"/>
      <c r="C15" s="31" t="s">
        <v>13</v>
      </c>
      <c r="D15" s="47">
        <f>VLOOKUP($B2,[1]Complaints!$A$4:$AJ$39,10,)</f>
        <v>0</v>
      </c>
      <c r="E15" s="48">
        <f>VLOOKUP($B2,[2]Complaints!$A$4:$AJ$39,10,)</f>
        <v>0</v>
      </c>
      <c r="F15" s="48">
        <f>VLOOKUP($B2,[3]Complaints!$A$4:$AJ$39,10,)</f>
        <v>0</v>
      </c>
      <c r="G15" s="48">
        <f>VLOOKUP($B2,[4]Complaints!$A$4:$AJ$39,10,)</f>
        <v>0</v>
      </c>
      <c r="H15" s="48">
        <f>VLOOKUP($B2,[5]Complaints!$A$4:$AJ$39,10,)</f>
        <v>0</v>
      </c>
      <c r="I15" s="48">
        <f>VLOOKUP($B2,[6]Complaints!$A$4:$AJ$39,10,)</f>
        <v>0</v>
      </c>
      <c r="J15" s="48">
        <f>VLOOKUP($B2,[7]Complaints!$A$4:$AJ$39,10,)</f>
        <v>0</v>
      </c>
      <c r="K15" s="48">
        <f>VLOOKUP($B2,[8]Complaints!$A$4:$AJ$39,10,)</f>
        <v>0</v>
      </c>
      <c r="L15" s="48">
        <f>VLOOKUP($B2,[9]Complaints!$A$4:$AJ$39,10,)</f>
        <v>0</v>
      </c>
      <c r="M15" s="48">
        <f>VLOOKUP($B2,[10]Complaints!$A$4:$AJ$39,10,)</f>
        <v>0</v>
      </c>
      <c r="N15" s="48">
        <f>VLOOKUP($B2,[11]Complaints!$A$4:$AJ$39,10,)</f>
        <v>0</v>
      </c>
      <c r="O15" s="49">
        <f>VLOOKUP($B2,[12]Complaints!$A$4:$AJ$39,10,)</f>
        <v>0</v>
      </c>
      <c r="P15" s="55">
        <f>SUM(D15:O15)</f>
        <v>0</v>
      </c>
      <c r="Q15" s="50" t="str">
        <f>IF(P15=0,"",P15/$P4)</f>
        <v/>
      </c>
      <c r="R15" s="18"/>
    </row>
    <row r="16" spans="2:18" ht="15.75" customHeight="1" x14ac:dyDescent="0.2">
      <c r="B16" s="169"/>
      <c r="C16" s="31" t="s">
        <v>101</v>
      </c>
      <c r="D16" s="47">
        <f>VLOOKUP($B2,[1]Complaints!$A$4:$AJ$39,11,)</f>
        <v>0</v>
      </c>
      <c r="E16" s="48">
        <f>VLOOKUP($B2,[2]Complaints!$A$4:$AJ$39,11,)</f>
        <v>0</v>
      </c>
      <c r="F16" s="48">
        <f>VLOOKUP($B2,[3]Complaints!$A$4:$AJ$39,11,)</f>
        <v>0</v>
      </c>
      <c r="G16" s="48">
        <f>VLOOKUP($B2,[4]Complaints!$A$4:$AJ$39,11,)</f>
        <v>0</v>
      </c>
      <c r="H16" s="48">
        <f>VLOOKUP($B2,[5]Complaints!$A$4:$AJ$39,11,)</f>
        <v>0</v>
      </c>
      <c r="I16" s="48">
        <f>VLOOKUP($B2,[6]Complaints!$A$4:$AJ$39,11,)</f>
        <v>0</v>
      </c>
      <c r="J16" s="48">
        <f>VLOOKUP($B2,[7]Complaints!$A$4:$AJ$39,11,)</f>
        <v>1</v>
      </c>
      <c r="K16" s="48">
        <f>VLOOKUP($B2,[8]Complaints!$A$4:$AJ$39,11,)</f>
        <v>0</v>
      </c>
      <c r="L16" s="48">
        <f>VLOOKUP($B2,[9]Complaints!$A$4:$AJ$39,11,)</f>
        <v>0</v>
      </c>
      <c r="M16" s="48">
        <f>VLOOKUP($B2,[10]Complaints!$A$4:$AJ$39,11,)</f>
        <v>0</v>
      </c>
      <c r="N16" s="48">
        <f>VLOOKUP($B2,[11]Complaints!$A$4:$AJ$39,11,)</f>
        <v>0</v>
      </c>
      <c r="O16" s="49">
        <f>VLOOKUP($B2,[12]Complaints!$A$4:$AJ$39,11,)</f>
        <v>0</v>
      </c>
      <c r="P16" s="55">
        <f t="shared" si="5"/>
        <v>1</v>
      </c>
      <c r="Q16" s="50">
        <f>IF(P16=0,"",P16/$P4)</f>
        <v>0.25</v>
      </c>
      <c r="R16" s="18"/>
    </row>
    <row r="17" spans="1:19" s="19" customFormat="1" ht="15.75" customHeight="1" x14ac:dyDescent="0.2">
      <c r="B17" s="169"/>
      <c r="C17" s="31" t="s">
        <v>93</v>
      </c>
      <c r="D17" s="47">
        <f>VLOOKUP($B2,[1]Complaints!$A$4:$AJ$39,12,)</f>
        <v>0</v>
      </c>
      <c r="E17" s="48">
        <f>VLOOKUP($B2,[2]Complaints!$A$4:$AJ$39,12,)</f>
        <v>0</v>
      </c>
      <c r="F17" s="48">
        <f>VLOOKUP($B2,[3]Complaints!$A$4:$AJ$39,12,)</f>
        <v>0</v>
      </c>
      <c r="G17" s="48">
        <f>VLOOKUP($B2,[4]Complaints!$A$4:$AJ$39,12,)</f>
        <v>1</v>
      </c>
      <c r="H17" s="48">
        <f>VLOOKUP($B2,[5]Complaints!$A$4:$AJ$39,12,)</f>
        <v>0</v>
      </c>
      <c r="I17" s="48">
        <f>VLOOKUP($B2,[6]Complaints!$A$4:$AJ$39,12,)</f>
        <v>1</v>
      </c>
      <c r="J17" s="48">
        <f>VLOOKUP($B2,[7]Complaints!$A$4:$AJ$39,12,)</f>
        <v>0</v>
      </c>
      <c r="K17" s="48">
        <f>VLOOKUP($B2,[8]Complaints!$A$4:$AJ$39,12,)</f>
        <v>0</v>
      </c>
      <c r="L17" s="48">
        <f>VLOOKUP($B2,[9]Complaints!$A$4:$AJ$39,12,)</f>
        <v>0</v>
      </c>
      <c r="M17" s="48">
        <f>VLOOKUP($B2,[10]Complaints!$A$4:$AJ$39,12,)</f>
        <v>0</v>
      </c>
      <c r="N17" s="48">
        <f>VLOOKUP($B2,[11]Complaints!$A$4:$AJ$39,12,)</f>
        <v>0</v>
      </c>
      <c r="O17" s="49">
        <f>VLOOKUP($B2,[12]Complaints!$A$4:$AJ$39,12,)</f>
        <v>0</v>
      </c>
      <c r="P17" s="55">
        <f t="shared" si="5"/>
        <v>2</v>
      </c>
      <c r="Q17" s="50">
        <f>IF(P17=0,"",P17/$P4)</f>
        <v>0.5</v>
      </c>
    </row>
    <row r="18" spans="1:19" ht="15.75" customHeight="1" x14ac:dyDescent="0.2">
      <c r="B18" s="169"/>
      <c r="C18" s="31" t="s">
        <v>78</v>
      </c>
      <c r="D18" s="47">
        <f>VLOOKUP($B2,[1]Complaints!$A$4:$AJ$39,13,)</f>
        <v>0</v>
      </c>
      <c r="E18" s="48">
        <f>VLOOKUP($B2,[2]Complaints!$A$4:$AJ$39,13,)</f>
        <v>0</v>
      </c>
      <c r="F18" s="48">
        <f>VLOOKUP($B2,[3]Complaints!$A$4:$AJ$39,13,)</f>
        <v>0</v>
      </c>
      <c r="G18" s="48">
        <f>VLOOKUP($B2,[4]Complaints!$A$4:$AJ$39,13,)</f>
        <v>0</v>
      </c>
      <c r="H18" s="48">
        <f>VLOOKUP($B2,[5]Complaints!$A$4:$AJ$39,13,)</f>
        <v>0</v>
      </c>
      <c r="I18" s="48">
        <f>VLOOKUP($B2,[6]Complaints!$A$4:$AJ$39,13,)</f>
        <v>0</v>
      </c>
      <c r="J18" s="48">
        <f>VLOOKUP($B2,[7]Complaints!$A$4:$AJ$39,13,)</f>
        <v>0</v>
      </c>
      <c r="K18" s="48">
        <f>VLOOKUP($B2,[8]Complaints!$A$4:$AJ$39,13,)</f>
        <v>0</v>
      </c>
      <c r="L18" s="48">
        <f>VLOOKUP($B2,[9]Complaints!$A$4:$AJ$39,13,)</f>
        <v>0</v>
      </c>
      <c r="M18" s="48">
        <f>VLOOKUP($B2,[10]Complaints!$A$4:$AJ$39,13,)</f>
        <v>0</v>
      </c>
      <c r="N18" s="48">
        <f>VLOOKUP($B2,[11]Complaints!$A$4:$AJ$39,13,)</f>
        <v>0</v>
      </c>
      <c r="O18" s="49">
        <f>VLOOKUP($B2,[12]Complaints!$A$4:$AJ$39,13,)</f>
        <v>0</v>
      </c>
      <c r="P18" s="55">
        <f t="shared" si="5"/>
        <v>0</v>
      </c>
      <c r="Q18" s="50" t="str">
        <f>IF(P18=0,"",P18/$P4)</f>
        <v/>
      </c>
      <c r="R18" s="18"/>
    </row>
    <row r="19" spans="1:19" ht="15.75" customHeight="1" x14ac:dyDescent="0.2">
      <c r="B19" s="169"/>
      <c r="C19" s="31" t="s">
        <v>92</v>
      </c>
      <c r="D19" s="47">
        <f>VLOOKUP($B2,[1]Complaints!$A$4:$AJ$39,14,)</f>
        <v>0</v>
      </c>
      <c r="E19" s="48">
        <f>VLOOKUP($B2,[2]Complaints!$A$4:$AJ$39,14,)</f>
        <v>0</v>
      </c>
      <c r="F19" s="48">
        <f>VLOOKUP($B2,[3]Complaints!$A$4:$AJ$39,14,)</f>
        <v>0</v>
      </c>
      <c r="G19" s="48">
        <f>VLOOKUP($B2,[4]Complaints!$A$4:$AJ$39,14,)</f>
        <v>0</v>
      </c>
      <c r="H19" s="48">
        <f>VLOOKUP($B2,[5]Complaints!$A$4:$AJ$39,14,)</f>
        <v>0</v>
      </c>
      <c r="I19" s="48">
        <f>VLOOKUP($B2,[6]Complaints!$A$4:$AJ$39,14,)</f>
        <v>0</v>
      </c>
      <c r="J19" s="48">
        <f>VLOOKUP($B2,[7]Complaints!$A$4:$AJ$39,14,)</f>
        <v>0</v>
      </c>
      <c r="K19" s="48">
        <f>VLOOKUP($B2,[8]Complaints!$A$4:$AJ$39,14,)</f>
        <v>0</v>
      </c>
      <c r="L19" s="48">
        <f>VLOOKUP($B2,[9]Complaints!$A$4:$AJ$39,14,)</f>
        <v>0</v>
      </c>
      <c r="M19" s="48">
        <f>VLOOKUP($B2,[10]Complaints!$A$4:$AJ$39,14,)</f>
        <v>0</v>
      </c>
      <c r="N19" s="48">
        <f>VLOOKUP($B2,[11]Complaints!$A$4:$AJ$39,14,)</f>
        <v>0</v>
      </c>
      <c r="O19" s="49">
        <f>VLOOKUP($B2,[12]Complaints!$A$4:$AJ$39,14,)</f>
        <v>0</v>
      </c>
      <c r="P19" s="55">
        <f t="shared" si="5"/>
        <v>0</v>
      </c>
      <c r="Q19" s="50" t="str">
        <f>IF(P19=0,"",P19/$P4)</f>
        <v/>
      </c>
      <c r="R19" s="18"/>
    </row>
    <row r="20" spans="1:19" ht="15.75" customHeight="1" x14ac:dyDescent="0.2">
      <c r="B20" s="169"/>
      <c r="C20" s="31" t="s">
        <v>91</v>
      </c>
      <c r="D20" s="47">
        <f>VLOOKUP($B2,[1]Complaints!$A$4:$AJ$39,15,)</f>
        <v>0</v>
      </c>
      <c r="E20" s="48">
        <f>VLOOKUP($B2,[2]Complaints!$A$4:$AJ$39,15,)</f>
        <v>0</v>
      </c>
      <c r="F20" s="48">
        <f>VLOOKUP($B2,[3]Complaints!$A$4:$AJ$39,15,)</f>
        <v>0</v>
      </c>
      <c r="G20" s="48">
        <f>VLOOKUP($B2,[4]Complaints!$A$4:$AJ$39,15,)</f>
        <v>0</v>
      </c>
      <c r="H20" s="48">
        <f>VLOOKUP($B2,[5]Complaints!$A$4:$AJ$39,15,)</f>
        <v>0</v>
      </c>
      <c r="I20" s="48">
        <f>VLOOKUP($B2,[6]Complaints!$A$4:$AJ$39,15,)</f>
        <v>0</v>
      </c>
      <c r="J20" s="48">
        <f>VLOOKUP($B2,[7]Complaints!$A$4:$AJ$39,15,)</f>
        <v>0</v>
      </c>
      <c r="K20" s="48">
        <f>VLOOKUP($B2,[8]Complaints!$A$4:$AJ$39,15,)</f>
        <v>0</v>
      </c>
      <c r="L20" s="48">
        <f>VLOOKUP($B2,[9]Complaints!$A$4:$AJ$39,15,)</f>
        <v>0</v>
      </c>
      <c r="M20" s="48">
        <f>VLOOKUP($B2,[10]Complaints!$A$4:$AJ$39,15,)</f>
        <v>0</v>
      </c>
      <c r="N20" s="48">
        <f>VLOOKUP($B2,[11]Complaints!$A$4:$AJ$39,15,)</f>
        <v>0</v>
      </c>
      <c r="O20" s="49">
        <f>VLOOKUP($B2,[12]Complaints!$A$4:$AJ$39,15,)</f>
        <v>0</v>
      </c>
      <c r="P20" s="55">
        <f t="shared" si="5"/>
        <v>0</v>
      </c>
      <c r="Q20" s="50" t="str">
        <f>IF(P20=0,"",P20/$P4)</f>
        <v/>
      </c>
      <c r="R20" s="18"/>
    </row>
    <row r="21" spans="1:19" ht="15.75" customHeight="1" x14ac:dyDescent="0.2">
      <c r="B21" s="169"/>
      <c r="C21" s="31" t="s">
        <v>79</v>
      </c>
      <c r="D21" s="47">
        <f>VLOOKUP($B2,[1]Complaints!$A$4:$AJ$39,16,)</f>
        <v>0</v>
      </c>
      <c r="E21" s="48">
        <f>VLOOKUP($B2,[2]Complaints!$A$4:$AJ$39,16,)</f>
        <v>0</v>
      </c>
      <c r="F21" s="48">
        <f>VLOOKUP($B2,[3]Complaints!$A$4:$AJ$39,16,)</f>
        <v>0</v>
      </c>
      <c r="G21" s="48">
        <f>VLOOKUP($B2,[4]Complaints!$A$4:$AJ$39,16,)</f>
        <v>0</v>
      </c>
      <c r="H21" s="48">
        <f>VLOOKUP($B2,[5]Complaints!$A$4:$AJ$39,16,)</f>
        <v>0</v>
      </c>
      <c r="I21" s="48">
        <f>VLOOKUP($B2,[6]Complaints!$A$4:$AJ$39,16,)</f>
        <v>0</v>
      </c>
      <c r="J21" s="48">
        <f>VLOOKUP($B2,[7]Complaints!$A$4:$AJ$39,16,)</f>
        <v>0</v>
      </c>
      <c r="K21" s="48">
        <f>VLOOKUP($B2,[8]Complaints!$A$4:$AJ$39,16,)</f>
        <v>0</v>
      </c>
      <c r="L21" s="48">
        <f>VLOOKUP($B2,[9]Complaints!$A$4:$AJ$39,16,)</f>
        <v>0</v>
      </c>
      <c r="M21" s="48">
        <f>VLOOKUP($B2,[10]Complaints!$A$4:$AJ$39,16,)</f>
        <v>0</v>
      </c>
      <c r="N21" s="48">
        <f>VLOOKUP($B2,[11]Complaints!$A$4:$AJ$39,16,)</f>
        <v>0</v>
      </c>
      <c r="O21" s="49">
        <f>VLOOKUP($B2,[12]Complaints!$A$4:$AJ$39,16,)</f>
        <v>0</v>
      </c>
      <c r="P21" s="55">
        <f t="shared" si="5"/>
        <v>0</v>
      </c>
      <c r="Q21" s="50" t="str">
        <f>IF(P21=0,"",P21/$P4)</f>
        <v/>
      </c>
      <c r="R21" s="18"/>
    </row>
    <row r="22" spans="1:19" ht="15.75" customHeight="1" x14ac:dyDescent="0.2">
      <c r="B22" s="169"/>
      <c r="C22" s="31" t="s">
        <v>80</v>
      </c>
      <c r="D22" s="47">
        <f>VLOOKUP($B2,[1]Complaints!$A$4:$AJ$39,17,)</f>
        <v>0</v>
      </c>
      <c r="E22" s="48">
        <f>VLOOKUP($B2,[2]Complaints!$A$4:$AJ$39,17,)</f>
        <v>0</v>
      </c>
      <c r="F22" s="48">
        <f>VLOOKUP($B2,[3]Complaints!$A$4:$AJ$39,17,)</f>
        <v>0</v>
      </c>
      <c r="G22" s="48">
        <f>VLOOKUP($B2,[4]Complaints!$A$4:$AJ$39,17,)</f>
        <v>0</v>
      </c>
      <c r="H22" s="48">
        <f>VLOOKUP($B2,[5]Complaints!$A$4:$AJ$39,17,)</f>
        <v>0</v>
      </c>
      <c r="I22" s="48">
        <f>VLOOKUP($B2,[6]Complaints!$A$4:$AJ$39,17,)</f>
        <v>0</v>
      </c>
      <c r="J22" s="48">
        <f>VLOOKUP($B2,[7]Complaints!$A$4:$AJ$39,17,)</f>
        <v>0</v>
      </c>
      <c r="K22" s="48">
        <f>VLOOKUP($B2,[8]Complaints!$A$4:$AJ$39,17,)</f>
        <v>0</v>
      </c>
      <c r="L22" s="48">
        <f>VLOOKUP($B2,[9]Complaints!$A$4:$AJ$39,17,)</f>
        <v>0</v>
      </c>
      <c r="M22" s="48">
        <f>VLOOKUP($B2,[10]Complaints!$A$4:$AJ$39,17,)</f>
        <v>0</v>
      </c>
      <c r="N22" s="48">
        <f>VLOOKUP($B2,[11]Complaints!$A$4:$AJ$39,17,)</f>
        <v>0</v>
      </c>
      <c r="O22" s="49">
        <f>VLOOKUP($B2,[12]Complaints!$A$4:$AJ$39,17,)</f>
        <v>0</v>
      </c>
      <c r="P22" s="55">
        <f t="shared" si="5"/>
        <v>0</v>
      </c>
      <c r="Q22" s="50" t="str">
        <f>IF(P22=0,"",P22/$P4)</f>
        <v/>
      </c>
      <c r="R22" s="18"/>
    </row>
    <row r="23" spans="1:19" ht="15.75" customHeight="1" x14ac:dyDescent="0.2">
      <c r="B23" s="169"/>
      <c r="C23" s="31" t="s">
        <v>81</v>
      </c>
      <c r="D23" s="47">
        <f>VLOOKUP($B2,[1]Complaints!$A$4:$AJ$39,18,)</f>
        <v>0</v>
      </c>
      <c r="E23" s="48">
        <f>VLOOKUP($B2,[2]Complaints!$A$4:$AJ$39,18,)</f>
        <v>0</v>
      </c>
      <c r="F23" s="48">
        <f>VLOOKUP($B2,[3]Complaints!$A$4:$AJ$39,18,)</f>
        <v>0</v>
      </c>
      <c r="G23" s="48">
        <f>VLOOKUP($B2,[4]Complaints!$A$4:$AJ$39,18,)</f>
        <v>0</v>
      </c>
      <c r="H23" s="48">
        <f>VLOOKUP($B2,[5]Complaints!$A$4:$AJ$39,18,)</f>
        <v>0</v>
      </c>
      <c r="I23" s="48">
        <f>VLOOKUP($B2,[6]Complaints!$A$4:$AJ$39,18,)</f>
        <v>0</v>
      </c>
      <c r="J23" s="48">
        <f>VLOOKUP($B2,[7]Complaints!$A$4:$AJ$39,18,)</f>
        <v>0</v>
      </c>
      <c r="K23" s="48">
        <f>VLOOKUP($B2,[8]Complaints!$A$4:$AJ$39,18,)</f>
        <v>0</v>
      </c>
      <c r="L23" s="48">
        <f>VLOOKUP($B2,[9]Complaints!$A$4:$AJ$39,18,)</f>
        <v>0</v>
      </c>
      <c r="M23" s="48">
        <f>VLOOKUP($B2,[10]Complaints!$A$4:$AJ$39,18,)</f>
        <v>0</v>
      </c>
      <c r="N23" s="48">
        <f>VLOOKUP($B2,[11]Complaints!$A$4:$AJ$39,18,)</f>
        <v>0</v>
      </c>
      <c r="O23" s="49">
        <f>VLOOKUP($B2,[12]Complaints!$A$4:$AJ$39,18,)</f>
        <v>0</v>
      </c>
      <c r="P23" s="55">
        <f t="shared" si="5"/>
        <v>0</v>
      </c>
      <c r="Q23" s="50" t="str">
        <f>IF(P23=0,"",P23/$P4)</f>
        <v/>
      </c>
      <c r="R23" s="18"/>
    </row>
    <row r="24" spans="1:19" ht="15.75" customHeight="1" x14ac:dyDescent="0.2">
      <c r="B24" s="169"/>
      <c r="C24" s="31" t="s">
        <v>82</v>
      </c>
      <c r="D24" s="47">
        <f>VLOOKUP($B2,[1]Complaints!$A$4:$AJ$39,19,)</f>
        <v>0</v>
      </c>
      <c r="E24" s="48">
        <f>VLOOKUP($B2,[2]Complaints!$A$4:$AJ$39,19,)</f>
        <v>0</v>
      </c>
      <c r="F24" s="48">
        <f>VLOOKUP($B2,[3]Complaints!$A$4:$AJ$39,19,)</f>
        <v>0</v>
      </c>
      <c r="G24" s="48">
        <f>VLOOKUP($B2,[4]Complaints!$A$4:$AJ$39,19,)</f>
        <v>0</v>
      </c>
      <c r="H24" s="48">
        <f>VLOOKUP($B2,[5]Complaints!$A$4:$AJ$39,19,)</f>
        <v>0</v>
      </c>
      <c r="I24" s="48">
        <f>VLOOKUP($B2,[6]Complaints!$A$4:$AJ$39,19,)</f>
        <v>0</v>
      </c>
      <c r="J24" s="48">
        <f>VLOOKUP($B2,[7]Complaints!$A$4:$AJ$39,19,)</f>
        <v>0</v>
      </c>
      <c r="K24" s="48">
        <f>VLOOKUP($B2,[8]Complaints!$A$4:$AJ$39,19,)</f>
        <v>0</v>
      </c>
      <c r="L24" s="48">
        <f>VLOOKUP($B2,[9]Complaints!$A$4:$AJ$39,19,)</f>
        <v>0</v>
      </c>
      <c r="M24" s="48">
        <f>VLOOKUP($B2,[10]Complaints!$A$4:$AJ$39,19,)</f>
        <v>0</v>
      </c>
      <c r="N24" s="48">
        <f>VLOOKUP($B2,[11]Complaints!$A$4:$AJ$39,19,)</f>
        <v>0</v>
      </c>
      <c r="O24" s="49">
        <f>VLOOKUP($B2,[12]Complaints!$A$4:$AJ$39,19,)</f>
        <v>0</v>
      </c>
      <c r="P24" s="55">
        <f t="shared" si="5"/>
        <v>0</v>
      </c>
      <c r="Q24" s="50" t="str">
        <f>IF(P24=0,"",P24/$P4)</f>
        <v/>
      </c>
      <c r="R24" s="18"/>
    </row>
    <row r="25" spans="1:19" ht="15.75" customHeight="1" thickBot="1" x14ac:dyDescent="0.25">
      <c r="B25" s="170"/>
      <c r="C25" s="31" t="s">
        <v>83</v>
      </c>
      <c r="D25" s="47">
        <f>VLOOKUP($B2,[1]Complaints!$A$4:$AJ$39,20,)</f>
        <v>0</v>
      </c>
      <c r="E25" s="48">
        <f>VLOOKUP($B2,[2]Complaints!$A$4:$AJ$39,20,)</f>
        <v>0</v>
      </c>
      <c r="F25" s="48">
        <f>VLOOKUP($B2,[3]Complaints!$A$4:$AJ$39,20,)</f>
        <v>0</v>
      </c>
      <c r="G25" s="48">
        <f>VLOOKUP($B2,[4]Complaints!$A$4:$AJ$39,20,)</f>
        <v>0</v>
      </c>
      <c r="H25" s="48">
        <f>VLOOKUP($B2,[5]Complaints!$A$4:$AJ$39,20,)</f>
        <v>0</v>
      </c>
      <c r="I25" s="48">
        <f>VLOOKUP($B2,[6]Complaints!$A$4:$AJ$39,20,)</f>
        <v>0</v>
      </c>
      <c r="J25" s="48">
        <f>VLOOKUP($B2,[7]Complaints!$A$4:$AJ$39,20,)</f>
        <v>0</v>
      </c>
      <c r="K25" s="48">
        <f>VLOOKUP($B2,[8]Complaints!$A$4:$AJ$39,20,)</f>
        <v>0</v>
      </c>
      <c r="L25" s="48">
        <f>VLOOKUP($B2,[9]Complaints!$A$4:$AJ$39,20,)</f>
        <v>0</v>
      </c>
      <c r="M25" s="48">
        <f>VLOOKUP($B2,[10]Complaints!$A$4:$AJ$39,20,)</f>
        <v>0</v>
      </c>
      <c r="N25" s="48">
        <f>VLOOKUP($B2,[11]Complaints!$A$4:$AJ$39,20,)</f>
        <v>0</v>
      </c>
      <c r="O25" s="49">
        <f>VLOOKUP($B2,[12]Complaints!$A$4:$AJ$39,20,)</f>
        <v>0</v>
      </c>
      <c r="P25" s="55">
        <f t="shared" si="5"/>
        <v>0</v>
      </c>
      <c r="Q25" s="50" t="str">
        <f>IF(P25=0,"",P25/$P4)</f>
        <v/>
      </c>
      <c r="R25" s="18"/>
    </row>
    <row r="26" spans="1:19" ht="15.75" customHeight="1" x14ac:dyDescent="0.2">
      <c r="B26" s="144" t="s">
        <v>90</v>
      </c>
      <c r="C26" s="37" t="s">
        <v>118</v>
      </c>
      <c r="D26" s="62">
        <f>VLOOKUP($B2,[1]Complaints!$A$4:$AJ$39,21,)</f>
        <v>0</v>
      </c>
      <c r="E26" s="63">
        <f>VLOOKUP($B2,[2]Complaints!$A$4:$AJ$39,21,)</f>
        <v>0</v>
      </c>
      <c r="F26" s="63">
        <f>VLOOKUP($B2,[3]Complaints!$A$4:$AJ$39,21,)</f>
        <v>0</v>
      </c>
      <c r="G26" s="63">
        <f>VLOOKUP($B2,[4]Complaints!$A$4:$AJ$39,21,)</f>
        <v>1</v>
      </c>
      <c r="H26" s="63">
        <f>VLOOKUP($B2,[5]Complaints!$A$4:$AJ$39,21,)</f>
        <v>0</v>
      </c>
      <c r="I26" s="63">
        <f>VLOOKUP($B2,[6]Complaints!$A$4:$AJ$39,21,)</f>
        <v>1</v>
      </c>
      <c r="J26" s="63">
        <f>VLOOKUP($B2,[7]Complaints!$A$4:$AJ$39,21,)</f>
        <v>1</v>
      </c>
      <c r="K26" s="63">
        <f>VLOOKUP($B2,[8]Complaints!$A$4:$AJ$39,21,)</f>
        <v>1</v>
      </c>
      <c r="L26" s="63">
        <f>VLOOKUP($B2,[9]Complaints!$A$4:$AJ$39,21,)</f>
        <v>0</v>
      </c>
      <c r="M26" s="63">
        <f>VLOOKUP($B2,[10]Complaints!$A$4:$AJ$39,21,)</f>
        <v>0</v>
      </c>
      <c r="N26" s="63">
        <f>VLOOKUP($B2,[11]Complaints!$A$4:$AJ$39,21,)</f>
        <v>0</v>
      </c>
      <c r="O26" s="64">
        <f>VLOOKUP($B2,[12]Complaints!$A$4:$AJ$39,21,)</f>
        <v>0</v>
      </c>
      <c r="P26" s="65">
        <f>SUM(D26:O26)</f>
        <v>4</v>
      </c>
      <c r="Q26" s="46">
        <f>IF(P26=0,"",P26/$P10)</f>
        <v>1</v>
      </c>
      <c r="R26" s="18"/>
    </row>
    <row r="27" spans="1:19" ht="15.75" customHeight="1" x14ac:dyDescent="0.2">
      <c r="B27" s="145"/>
      <c r="C27" s="38" t="s">
        <v>77</v>
      </c>
      <c r="D27" s="66">
        <f>VLOOKUP($B2,[1]Complaints!$A$4:$AJ$39,22,)</f>
        <v>0</v>
      </c>
      <c r="E27" s="67">
        <f>VLOOKUP($B2,[2]Complaints!$A$4:$AJ$39,22,)</f>
        <v>0</v>
      </c>
      <c r="F27" s="67">
        <f>VLOOKUP($B2,[3]Complaints!$A$4:$AJ$39,22,)</f>
        <v>0</v>
      </c>
      <c r="G27" s="67">
        <f>VLOOKUP($B2,[4]Complaints!$A$4:$AJ$39,22,)</f>
        <v>0</v>
      </c>
      <c r="H27" s="67">
        <f>VLOOKUP($B2,[5]Complaints!$A$4:$AJ$39,22,)</f>
        <v>0</v>
      </c>
      <c r="I27" s="67">
        <f>VLOOKUP($B2,[6]Complaints!$A$4:$AJ$39,22,)</f>
        <v>0</v>
      </c>
      <c r="J27" s="67">
        <f>VLOOKUP($B2,[7]Complaints!$A$4:$AJ$39,22,)</f>
        <v>0</v>
      </c>
      <c r="K27" s="67">
        <f>VLOOKUP($B2,[8]Complaints!$A$4:$AJ$39,22,)</f>
        <v>0</v>
      </c>
      <c r="L27" s="67">
        <f>VLOOKUP($B2,[9]Complaints!$A$4:$AJ$39,22,)</f>
        <v>0</v>
      </c>
      <c r="M27" s="67">
        <f>VLOOKUP($B2,[10]Complaints!$A$4:$AJ$39,22,)</f>
        <v>0</v>
      </c>
      <c r="N27" s="67">
        <f>VLOOKUP($B2,[11]Complaints!$A$4:$AJ$39,22,)</f>
        <v>0</v>
      </c>
      <c r="O27" s="68">
        <f>VLOOKUP($B2,[12]Complaints!$A$4:$AJ$39,22,)</f>
        <v>0</v>
      </c>
      <c r="P27" s="69">
        <f t="shared" ref="P27:P41" si="6">SUM(D27:O27)</f>
        <v>0</v>
      </c>
      <c r="Q27" s="70" t="str">
        <f>IF(P27=0,"",P27/$P10)</f>
        <v/>
      </c>
      <c r="R27" s="18"/>
    </row>
    <row r="28" spans="1:19" ht="15.75" customHeight="1" x14ac:dyDescent="0.2">
      <c r="B28" s="145"/>
      <c r="C28" s="38" t="s">
        <v>108</v>
      </c>
      <c r="D28" s="66">
        <f>VLOOKUP($B2,[1]Complaints!$A$4:$AJ$39,23,)</f>
        <v>0</v>
      </c>
      <c r="E28" s="67">
        <f>VLOOKUP($B2,[2]Complaints!$A$4:$AJ$39,23,)</f>
        <v>0</v>
      </c>
      <c r="F28" s="67">
        <f>VLOOKUP($B2,[3]Complaints!$A$4:$AJ$39,23,)</f>
        <v>0</v>
      </c>
      <c r="G28" s="67">
        <f>VLOOKUP($B2,[4]Complaints!$A$4:$AJ$39,23,)</f>
        <v>0</v>
      </c>
      <c r="H28" s="67">
        <f>VLOOKUP($B2,[5]Complaints!$A$4:$AJ$39,23,)</f>
        <v>0</v>
      </c>
      <c r="I28" s="67">
        <f>VLOOKUP($B2,[6]Complaints!$A$4:$AJ$39,23,)</f>
        <v>0</v>
      </c>
      <c r="J28" s="67">
        <f>VLOOKUP($B2,[7]Complaints!$A$4:$AJ$39,23,)</f>
        <v>0</v>
      </c>
      <c r="K28" s="67">
        <f>VLOOKUP($B2,[8]Complaints!$A$4:$AJ$39,23,)</f>
        <v>0</v>
      </c>
      <c r="L28" s="67">
        <f>VLOOKUP($B2,[9]Complaints!$A$4:$AJ$39,23,)</f>
        <v>0</v>
      </c>
      <c r="M28" s="67">
        <f>VLOOKUP($B2,[10]Complaints!$A$4:$AJ$39,23,)</f>
        <v>0</v>
      </c>
      <c r="N28" s="67">
        <f>VLOOKUP($B2,[11]Complaints!$A$4:$AJ$39,23,)</f>
        <v>0</v>
      </c>
      <c r="O28" s="68">
        <f>VLOOKUP($B2,[12]Complaints!$A$4:$AJ$39,23,)</f>
        <v>0</v>
      </c>
      <c r="P28" s="69">
        <f t="shared" si="6"/>
        <v>0</v>
      </c>
      <c r="Q28" s="70" t="str">
        <f>IF(P28=0,"",P28/$P10)</f>
        <v/>
      </c>
      <c r="R28" s="18"/>
    </row>
    <row r="29" spans="1:19" ht="15.75" customHeight="1" x14ac:dyDescent="0.2">
      <c r="B29" s="145"/>
      <c r="C29" s="38" t="s">
        <v>88</v>
      </c>
      <c r="D29" s="66">
        <f>VLOOKUP($B2,[1]Complaints!$A$4:$AJ$39,24,)</f>
        <v>0</v>
      </c>
      <c r="E29" s="67">
        <f>VLOOKUP($B2,[2]Complaints!$A$4:$AJ$39,24,)</f>
        <v>0</v>
      </c>
      <c r="F29" s="67">
        <f>VLOOKUP($B2,[3]Complaints!$A$4:$AJ$39,24,)</f>
        <v>0</v>
      </c>
      <c r="G29" s="67">
        <f>VLOOKUP($B2,[4]Complaints!$A$4:$AJ$39,24,)</f>
        <v>0</v>
      </c>
      <c r="H29" s="67">
        <f>VLOOKUP($B2,[5]Complaints!$A$4:$AJ$39,24,)</f>
        <v>0</v>
      </c>
      <c r="I29" s="67">
        <f>VLOOKUP($B2,[6]Complaints!$A$4:$AJ$39,24,)</f>
        <v>0</v>
      </c>
      <c r="J29" s="67">
        <f>VLOOKUP($B2,[7]Complaints!$A$4:$AJ$39,24,)</f>
        <v>0</v>
      </c>
      <c r="K29" s="67">
        <f>VLOOKUP($B2,[8]Complaints!$A$4:$AJ$39,24,)</f>
        <v>0</v>
      </c>
      <c r="L29" s="67">
        <f>VLOOKUP($B2,[9]Complaints!$A$4:$AJ$39,24,)</f>
        <v>0</v>
      </c>
      <c r="M29" s="67">
        <f>VLOOKUP($B2,[10]Complaints!$A$4:$AJ$39,24,)</f>
        <v>0</v>
      </c>
      <c r="N29" s="67">
        <f>VLOOKUP($B2,[11]Complaints!$A$4:$AJ$39,24,)</f>
        <v>0</v>
      </c>
      <c r="O29" s="68">
        <f>VLOOKUP($B2,[12]Complaints!$A$4:$AJ$39,24,)</f>
        <v>0</v>
      </c>
      <c r="P29" s="69">
        <f t="shared" si="6"/>
        <v>0</v>
      </c>
      <c r="Q29" s="70" t="str">
        <f>IF(P29=0,"",P29/$P10)</f>
        <v/>
      </c>
      <c r="R29" s="18"/>
    </row>
    <row r="30" spans="1:19" ht="15.75" customHeight="1" x14ac:dyDescent="0.2">
      <c r="B30" s="145"/>
      <c r="C30" s="38" t="s">
        <v>109</v>
      </c>
      <c r="D30" s="66">
        <f>VLOOKUP($B2,[1]Complaints!$A$4:$AJ$39,25,)</f>
        <v>0</v>
      </c>
      <c r="E30" s="67">
        <f>VLOOKUP($B2,[2]Complaints!$A$4:$AJ$39,25,)</f>
        <v>0</v>
      </c>
      <c r="F30" s="67">
        <f>VLOOKUP($B2,[3]Complaints!$A$4:$AJ$39,25,)</f>
        <v>0</v>
      </c>
      <c r="G30" s="67">
        <f>VLOOKUP($B2,[4]Complaints!$A$4:$AJ$39,25,)</f>
        <v>0</v>
      </c>
      <c r="H30" s="67">
        <f>VLOOKUP($B2,[5]Complaints!$A$4:$AJ$39,25,)</f>
        <v>0</v>
      </c>
      <c r="I30" s="67">
        <f>VLOOKUP($B2,[6]Complaints!$A$4:$AJ$39,25,)</f>
        <v>0</v>
      </c>
      <c r="J30" s="67">
        <f>VLOOKUP($B2,[7]Complaints!$A$4:$AJ$39,25,)</f>
        <v>0</v>
      </c>
      <c r="K30" s="67">
        <f>VLOOKUP($B2,[8]Complaints!$A$4:$AJ$39,25,)</f>
        <v>0</v>
      </c>
      <c r="L30" s="67">
        <f>VLOOKUP($B2,[9]Complaints!$A$4:$AJ$39,25,)</f>
        <v>0</v>
      </c>
      <c r="M30" s="67">
        <f>VLOOKUP($B2,[10]Complaints!$A$4:$AJ$39,25,)</f>
        <v>0</v>
      </c>
      <c r="N30" s="67">
        <f>VLOOKUP($B2,[11]Complaints!$A$4:$AJ$39,25,)</f>
        <v>0</v>
      </c>
      <c r="O30" s="68">
        <f>VLOOKUP($B2,[12]Complaints!$A$4:$AJ$39,25,)</f>
        <v>0</v>
      </c>
      <c r="P30" s="69">
        <f t="shared" ref="P30" si="7">SUM(D30:O30)</f>
        <v>0</v>
      </c>
      <c r="Q30" s="70" t="str">
        <f>IF(P30=0,"",P30/$P10)</f>
        <v/>
      </c>
      <c r="R30" s="18"/>
    </row>
    <row r="31" spans="1:19" ht="15.75" customHeight="1" x14ac:dyDescent="0.2">
      <c r="A31" s="21"/>
      <c r="B31" s="145"/>
      <c r="C31" s="38" t="s">
        <v>110</v>
      </c>
      <c r="D31" s="66">
        <f>VLOOKUP($B2,[1]Complaints!$A$4:$AJ$39,26,)</f>
        <v>0</v>
      </c>
      <c r="E31" s="67">
        <f>VLOOKUP($B2,[2]Complaints!$A$4:$AJ$39,26,)</f>
        <v>0</v>
      </c>
      <c r="F31" s="67">
        <f>VLOOKUP($B2,[3]Complaints!$A$4:$AJ$39,26,)</f>
        <v>0</v>
      </c>
      <c r="G31" s="67">
        <f>VLOOKUP($B2,[4]Complaints!$A$4:$AJ$39,26,)</f>
        <v>0</v>
      </c>
      <c r="H31" s="67">
        <f>VLOOKUP($B2,[5]Complaints!$A$4:$AJ$39,26,)</f>
        <v>0</v>
      </c>
      <c r="I31" s="67">
        <f>VLOOKUP($B2,[6]Complaints!$A$4:$AJ$39,26,)</f>
        <v>0</v>
      </c>
      <c r="J31" s="67">
        <f>VLOOKUP($B2,[7]Complaints!$A$4:$AJ$39,26,)</f>
        <v>0</v>
      </c>
      <c r="K31" s="67">
        <f>VLOOKUP($B2,[8]Complaints!$A$4:$AJ$39,26,)</f>
        <v>0</v>
      </c>
      <c r="L31" s="67">
        <f>VLOOKUP($B2,[9]Complaints!$A$4:$AJ$39,26,)</f>
        <v>0</v>
      </c>
      <c r="M31" s="67">
        <f>VLOOKUP($B2,[10]Complaints!$A$4:$AJ$39,26,)</f>
        <v>0</v>
      </c>
      <c r="N31" s="67">
        <f>VLOOKUP($B2,[11]Complaints!$A$4:$AJ$39,26,)</f>
        <v>0</v>
      </c>
      <c r="O31" s="68">
        <f>VLOOKUP($B2,[12]Complaints!$A$4:$AJ$39,26,)</f>
        <v>0</v>
      </c>
      <c r="P31" s="69">
        <f t="shared" si="6"/>
        <v>0</v>
      </c>
      <c r="Q31" s="70" t="str">
        <f>IF(P31=0,"",P31/$P10)</f>
        <v/>
      </c>
      <c r="R31" s="18"/>
    </row>
    <row r="32" spans="1:19" s="21" customFormat="1" ht="15.75" customHeight="1" x14ac:dyDescent="0.2">
      <c r="B32" s="145"/>
      <c r="C32" s="39" t="s">
        <v>107</v>
      </c>
      <c r="D32" s="71">
        <f>VLOOKUP($B2,[1]Complaints!$A$4:$AJ$39,27,)</f>
        <v>0</v>
      </c>
      <c r="E32" s="72">
        <f>VLOOKUP($B2,[2]Complaints!$A$4:$AJ$39,27,)</f>
        <v>0</v>
      </c>
      <c r="F32" s="72">
        <f>VLOOKUP($B2,[3]Complaints!$A$4:$AJ$39,27,)</f>
        <v>0</v>
      </c>
      <c r="G32" s="72">
        <f>VLOOKUP($B2,[4]Complaints!$A$4:$AJ$39,27,)</f>
        <v>0</v>
      </c>
      <c r="H32" s="72">
        <f>VLOOKUP($B2,[5]Complaints!$A$4:$AJ$39,27,)</f>
        <v>0</v>
      </c>
      <c r="I32" s="72">
        <f>VLOOKUP($B2,[6]Complaints!$A$4:$AJ$39,27,)</f>
        <v>0</v>
      </c>
      <c r="J32" s="72">
        <f>VLOOKUP($B2,[7]Complaints!$A$4:$AJ$39,27,)</f>
        <v>1</v>
      </c>
      <c r="K32" s="72">
        <f>VLOOKUP($B2,[8]Complaints!$A$4:$AJ$39,27,)</f>
        <v>1</v>
      </c>
      <c r="L32" s="72">
        <f>VLOOKUP($B2,[9]Complaints!$A$4:$AJ$39,27,)</f>
        <v>0</v>
      </c>
      <c r="M32" s="72">
        <f>VLOOKUP($B2,[10]Complaints!$A$4:$AJ$39,27,)</f>
        <v>0</v>
      </c>
      <c r="N32" s="72">
        <f>VLOOKUP($B2,[11]Complaints!$A$4:$AJ$39,27,)</f>
        <v>0</v>
      </c>
      <c r="O32" s="73">
        <f>VLOOKUP($B2,[12]Complaints!$A$4:$AJ$39,27,)</f>
        <v>0</v>
      </c>
      <c r="P32" s="69">
        <f t="shared" si="6"/>
        <v>2</v>
      </c>
      <c r="Q32" s="70">
        <f>IF(P32=0,"",P32/$P10)</f>
        <v>0.5</v>
      </c>
      <c r="S32" s="18"/>
    </row>
    <row r="33" spans="2:18" ht="15.75" customHeight="1" x14ac:dyDescent="0.2">
      <c r="B33" s="145"/>
      <c r="C33" s="39" t="s">
        <v>87</v>
      </c>
      <c r="D33" s="71">
        <f>VLOOKUP($B2,[1]Complaints!$A$4:$AJ$39,28,)</f>
        <v>0</v>
      </c>
      <c r="E33" s="72">
        <f>VLOOKUP($B2,[2]Complaints!$A$4:$AJ$39,28,)</f>
        <v>0</v>
      </c>
      <c r="F33" s="72">
        <f>VLOOKUP($B2,[3]Complaints!$A$4:$AJ$39,28,)</f>
        <v>0</v>
      </c>
      <c r="G33" s="72">
        <f>VLOOKUP($B2,[4]Complaints!$A$4:$AJ$39,28,)</f>
        <v>1</v>
      </c>
      <c r="H33" s="72">
        <f>VLOOKUP($B2,[5]Complaints!$A$4:$AJ$39,28,)</f>
        <v>0</v>
      </c>
      <c r="I33" s="72">
        <f>VLOOKUP($B2,[6]Complaints!$A$4:$AJ$39,28,)</f>
        <v>1</v>
      </c>
      <c r="J33" s="72">
        <f>VLOOKUP($B2,[7]Complaints!$A$4:$AJ$39,28,)</f>
        <v>0</v>
      </c>
      <c r="K33" s="72">
        <f>VLOOKUP($B2,[8]Complaints!$A$4:$AJ$39,28,)</f>
        <v>0</v>
      </c>
      <c r="L33" s="72">
        <f>VLOOKUP($B2,[9]Complaints!$A$4:$AJ$39,28,)</f>
        <v>0</v>
      </c>
      <c r="M33" s="72">
        <f>VLOOKUP($B2,[10]Complaints!$A$4:$AJ$39,28,)</f>
        <v>0</v>
      </c>
      <c r="N33" s="72">
        <f>VLOOKUP($B2,[11]Complaints!$A$4:$AJ$39,28,)</f>
        <v>0</v>
      </c>
      <c r="O33" s="73">
        <f>VLOOKUP($B2,[12]Complaints!$A$4:$AJ$39,28,)</f>
        <v>0</v>
      </c>
      <c r="P33" s="69">
        <f t="shared" si="6"/>
        <v>2</v>
      </c>
      <c r="Q33" s="70">
        <f>IF(P33=0,"",P33/$P10)</f>
        <v>0.5</v>
      </c>
      <c r="R33" s="18"/>
    </row>
    <row r="34" spans="2:18" ht="15.75" customHeight="1" x14ac:dyDescent="0.2">
      <c r="B34" s="145"/>
      <c r="C34" s="38" t="s">
        <v>111</v>
      </c>
      <c r="D34" s="66">
        <f>VLOOKUP($B2,[1]Complaints!$A$4:$AJ$39,29,)</f>
        <v>0</v>
      </c>
      <c r="E34" s="67">
        <f>VLOOKUP($B2,[2]Complaints!$A$4:$AJ$39,29,)</f>
        <v>0</v>
      </c>
      <c r="F34" s="67">
        <f>VLOOKUP($B2,[3]Complaints!$A$4:$AJ$39,29,)</f>
        <v>0</v>
      </c>
      <c r="G34" s="67">
        <f>VLOOKUP($B2,[4]Complaints!$A$4:$AJ$39,29,)</f>
        <v>0</v>
      </c>
      <c r="H34" s="67">
        <f>VLOOKUP($B2,[5]Complaints!$A$4:$AJ$39,29,)</f>
        <v>0</v>
      </c>
      <c r="I34" s="67">
        <f>VLOOKUP($B2,[6]Complaints!$A$4:$AJ$39,29,)</f>
        <v>0</v>
      </c>
      <c r="J34" s="67">
        <f>VLOOKUP($B2,[7]Complaints!$A$4:$AJ$39,29,)</f>
        <v>0</v>
      </c>
      <c r="K34" s="67">
        <f>VLOOKUP($B2,[8]Complaints!$A$4:$AJ$39,29,)</f>
        <v>0</v>
      </c>
      <c r="L34" s="67">
        <f>VLOOKUP($B2,[9]Complaints!$A$4:$AJ$39,29,)</f>
        <v>0</v>
      </c>
      <c r="M34" s="67">
        <f>VLOOKUP($B2,[10]Complaints!$A$4:$AJ$39,29,)</f>
        <v>0</v>
      </c>
      <c r="N34" s="67">
        <f>VLOOKUP($B2,[11]Complaints!$A$4:$AJ$39,29,)</f>
        <v>0</v>
      </c>
      <c r="O34" s="68">
        <f>VLOOKUP($B2,[12]Complaints!$A$4:$AJ$39,29,)</f>
        <v>0</v>
      </c>
      <c r="P34" s="69">
        <f t="shared" si="6"/>
        <v>0</v>
      </c>
      <c r="Q34" s="70" t="str">
        <f>IF(P34=0,"",P34/$P10)</f>
        <v/>
      </c>
      <c r="R34" s="18"/>
    </row>
    <row r="35" spans="2:18" ht="15.75" customHeight="1" x14ac:dyDescent="0.2">
      <c r="B35" s="145"/>
      <c r="C35" s="38" t="s">
        <v>112</v>
      </c>
      <c r="D35" s="66">
        <f>VLOOKUP($B2,[1]Complaints!$A$4:$AJ$39,30,)</f>
        <v>0</v>
      </c>
      <c r="E35" s="67">
        <f>VLOOKUP($B2,[2]Complaints!$A$4:$AJ$39,30,)</f>
        <v>0</v>
      </c>
      <c r="F35" s="67">
        <f>VLOOKUP($B2,[3]Complaints!$A$4:$AJ$39,30,)</f>
        <v>0</v>
      </c>
      <c r="G35" s="67">
        <f>VLOOKUP($B2,[4]Complaints!$A$4:$AJ$39,30,)</f>
        <v>0</v>
      </c>
      <c r="H35" s="67">
        <f>VLOOKUP($B2,[5]Complaints!$A$4:$AJ$39,30,)</f>
        <v>0</v>
      </c>
      <c r="I35" s="67">
        <f>VLOOKUP($B2,[6]Complaints!$A$4:$AJ$39,30,)</f>
        <v>0</v>
      </c>
      <c r="J35" s="67">
        <f>VLOOKUP($B2,[7]Complaints!$A$4:$AJ$39,30,)</f>
        <v>0</v>
      </c>
      <c r="K35" s="67">
        <f>VLOOKUP($B2,[8]Complaints!$A$4:$AJ$39,30,)</f>
        <v>0</v>
      </c>
      <c r="L35" s="67">
        <f>VLOOKUP($B2,[9]Complaints!$A$4:$AJ$39,30,)</f>
        <v>0</v>
      </c>
      <c r="M35" s="67">
        <f>VLOOKUP($B2,[10]Complaints!$A$4:$AJ$39,30,)</f>
        <v>0</v>
      </c>
      <c r="N35" s="67">
        <f>VLOOKUP($B2,[11]Complaints!$A$4:$AJ$39,30,)</f>
        <v>0</v>
      </c>
      <c r="O35" s="68">
        <f>VLOOKUP($B2,[12]Complaints!$A$4:$AJ$39,30,)</f>
        <v>0</v>
      </c>
      <c r="P35" s="69">
        <f t="shared" si="6"/>
        <v>0</v>
      </c>
      <c r="Q35" s="70" t="str">
        <f>IF(P35=0,"",P35/$P10)</f>
        <v/>
      </c>
      <c r="R35" s="18"/>
    </row>
    <row r="36" spans="2:18" ht="15.75" customHeight="1" x14ac:dyDescent="0.2">
      <c r="B36" s="146"/>
      <c r="C36" s="40" t="s">
        <v>119</v>
      </c>
      <c r="D36" s="74">
        <f>VLOOKUP($B2,[1]Complaints!$A$4:$AJ$39,31,)</f>
        <v>0</v>
      </c>
      <c r="E36" s="75">
        <f>VLOOKUP($B2,[2]Complaints!$A$4:$AJ$39,31,)</f>
        <v>0</v>
      </c>
      <c r="F36" s="75">
        <f>VLOOKUP($B2,[3]Complaints!$A$4:$AJ$39,31,)</f>
        <v>0</v>
      </c>
      <c r="G36" s="75">
        <f>VLOOKUP($B2,[4]Complaints!$A$4:$AJ$39,31,)</f>
        <v>0</v>
      </c>
      <c r="H36" s="75">
        <f>VLOOKUP($B2,[5]Complaints!$A$4:$AJ$39,31,)</f>
        <v>0</v>
      </c>
      <c r="I36" s="75">
        <f>VLOOKUP($B2,[6]Complaints!$A$4:$AJ$39,31,)</f>
        <v>0</v>
      </c>
      <c r="J36" s="75">
        <f>VLOOKUP($B2,[7]Complaints!$A$4:$AJ$39,31,)</f>
        <v>0</v>
      </c>
      <c r="K36" s="75">
        <f>VLOOKUP($B2,[8]Complaints!$A$4:$AJ$39,31,)</f>
        <v>0</v>
      </c>
      <c r="L36" s="75">
        <f>VLOOKUP($B2,[9]Complaints!$A$4:$AJ$39,31,)</f>
        <v>0</v>
      </c>
      <c r="M36" s="75">
        <f>VLOOKUP($B2,[10]Complaints!$A$4:$AJ$39,31,)</f>
        <v>0</v>
      </c>
      <c r="N36" s="75">
        <f>VLOOKUP($B2,[11]Complaints!$A$4:$AJ$39,31,)</f>
        <v>0</v>
      </c>
      <c r="O36" s="76">
        <f>VLOOKUP($B2,[12]Complaints!$A$4:$AJ$39,31,)</f>
        <v>0</v>
      </c>
      <c r="P36" s="77">
        <f t="shared" si="6"/>
        <v>0</v>
      </c>
      <c r="Q36" s="50" t="str">
        <f>IF(P36=0,"",P36/$P10)</f>
        <v/>
      </c>
      <c r="R36" s="18"/>
    </row>
    <row r="37" spans="2:18" ht="15.75" customHeight="1" x14ac:dyDescent="0.2">
      <c r="B37" s="146"/>
      <c r="C37" s="38" t="s">
        <v>113</v>
      </c>
      <c r="D37" s="66">
        <f>VLOOKUP($B2,[1]Complaints!$A$4:$AJ$39,32,)</f>
        <v>0</v>
      </c>
      <c r="E37" s="67">
        <f>VLOOKUP($B2,[2]Complaints!$A$4:$AJ$39,32,)</f>
        <v>0</v>
      </c>
      <c r="F37" s="67">
        <f>VLOOKUP($B2,[3]Complaints!$A$4:$AJ$39,32,)</f>
        <v>0</v>
      </c>
      <c r="G37" s="67">
        <f>VLOOKUP($B2,[4]Complaints!$A$4:$AJ$39,32,)</f>
        <v>0</v>
      </c>
      <c r="H37" s="67">
        <f>VLOOKUP($B2,[5]Complaints!$A$4:$AJ$39,32,)</f>
        <v>0</v>
      </c>
      <c r="I37" s="67">
        <f>VLOOKUP($B2,[6]Complaints!$A$4:$AJ$39,32,)</f>
        <v>0</v>
      </c>
      <c r="J37" s="67">
        <f>VLOOKUP($B2,[7]Complaints!$A$4:$AJ$39,32,)</f>
        <v>0</v>
      </c>
      <c r="K37" s="67">
        <f>VLOOKUP($B2,[8]Complaints!$A$4:$AJ$39,32,)</f>
        <v>0</v>
      </c>
      <c r="L37" s="67">
        <f>VLOOKUP($B2,[9]Complaints!$A$4:$AJ$39,32,)</f>
        <v>0</v>
      </c>
      <c r="M37" s="67">
        <f>VLOOKUP($B2,[10]Complaints!$A$4:$AJ$39,32,)</f>
        <v>0</v>
      </c>
      <c r="N37" s="67">
        <f>VLOOKUP($B2,[11]Complaints!$A$4:$AJ$39,32,)</f>
        <v>0</v>
      </c>
      <c r="O37" s="68">
        <f>VLOOKUP($B2,[12]Complaints!$A$4:$AJ$39,32,)</f>
        <v>0</v>
      </c>
      <c r="P37" s="69">
        <f t="shared" si="6"/>
        <v>0</v>
      </c>
      <c r="Q37" s="70" t="str">
        <f>IF(P37=0,"",P37/$P10)</f>
        <v/>
      </c>
      <c r="R37" s="18"/>
    </row>
    <row r="38" spans="2:18" ht="15.75" customHeight="1" x14ac:dyDescent="0.2">
      <c r="B38" s="146"/>
      <c r="C38" s="38" t="s">
        <v>114</v>
      </c>
      <c r="D38" s="66">
        <f>VLOOKUP($B2,[1]Complaints!$A$4:$AJ$39,33,)</f>
        <v>0</v>
      </c>
      <c r="E38" s="67">
        <f>VLOOKUP($B2,[2]Complaints!$A$4:$AJ$39,33,)</f>
        <v>0</v>
      </c>
      <c r="F38" s="67">
        <f>VLOOKUP($B2,[3]Complaints!$A$4:$AJ$39,33,)</f>
        <v>0</v>
      </c>
      <c r="G38" s="67">
        <f>VLOOKUP($B2,[4]Complaints!$A$4:$AJ$39,33,)</f>
        <v>0</v>
      </c>
      <c r="H38" s="67">
        <f>VLOOKUP($B2,[5]Complaints!$A$4:$AJ$39,33,)</f>
        <v>0</v>
      </c>
      <c r="I38" s="67">
        <f>VLOOKUP($B2,[6]Complaints!$A$4:$AJ$39,33,)</f>
        <v>0</v>
      </c>
      <c r="J38" s="67">
        <f>VLOOKUP($B2,[7]Complaints!$A$4:$AJ$39,33,)</f>
        <v>0</v>
      </c>
      <c r="K38" s="67">
        <f>VLOOKUP($B2,[8]Complaints!$A$4:$AJ$39,33,)</f>
        <v>0</v>
      </c>
      <c r="L38" s="67">
        <f>VLOOKUP($B2,[9]Complaints!$A$4:$AJ$39,33,)</f>
        <v>0</v>
      </c>
      <c r="M38" s="67">
        <f>VLOOKUP($B2,[10]Complaints!$A$4:$AJ$39,33,)</f>
        <v>0</v>
      </c>
      <c r="N38" s="67">
        <f>VLOOKUP($B2,[11]Complaints!$A$4:$AJ$39,33,)</f>
        <v>0</v>
      </c>
      <c r="O38" s="68">
        <f>VLOOKUP($B2,[12]Complaints!$A$4:$AJ$39,33,)</f>
        <v>0</v>
      </c>
      <c r="P38" s="69">
        <f t="shared" si="6"/>
        <v>0</v>
      </c>
      <c r="Q38" s="70" t="str">
        <f>IF(P38=0,"",P38/$P10)</f>
        <v/>
      </c>
      <c r="R38" s="18"/>
    </row>
    <row r="39" spans="2:18" ht="15.75" customHeight="1" x14ac:dyDescent="0.2">
      <c r="B39" s="146"/>
      <c r="C39" s="38" t="s">
        <v>115</v>
      </c>
      <c r="D39" s="66">
        <f>VLOOKUP($B2,[1]Complaints!$A$4:$AJ$39,34,)</f>
        <v>0</v>
      </c>
      <c r="E39" s="67">
        <f>VLOOKUP($B2,[2]Complaints!$A$4:$AJ$39,34,)</f>
        <v>0</v>
      </c>
      <c r="F39" s="67">
        <f>VLOOKUP($B2,[3]Complaints!$A$4:$AJ$39,34,)</f>
        <v>0</v>
      </c>
      <c r="G39" s="67">
        <f>VLOOKUP($B2,[4]Complaints!$A$4:$AJ$39,34,)</f>
        <v>0</v>
      </c>
      <c r="H39" s="67">
        <f>VLOOKUP($B2,[5]Complaints!$A$4:$AJ$39,34,)</f>
        <v>0</v>
      </c>
      <c r="I39" s="67">
        <f>VLOOKUP($B2,[6]Complaints!$A$4:$AJ$39,34,)</f>
        <v>0</v>
      </c>
      <c r="J39" s="67">
        <f>VLOOKUP($B2,[7]Complaints!$A$4:$AJ$39,34,)</f>
        <v>0</v>
      </c>
      <c r="K39" s="67">
        <f>VLOOKUP($B2,[8]Complaints!$A$4:$AJ$39,34,)</f>
        <v>0</v>
      </c>
      <c r="L39" s="67">
        <f>VLOOKUP($B2,[9]Complaints!$A$4:$AJ$39,34,)</f>
        <v>0</v>
      </c>
      <c r="M39" s="67">
        <f>VLOOKUP($B2,[10]Complaints!$A$4:$AJ$39,34,)</f>
        <v>0</v>
      </c>
      <c r="N39" s="67">
        <f>VLOOKUP($B2,[11]Complaints!$A$4:$AJ$39,34,)</f>
        <v>0</v>
      </c>
      <c r="O39" s="68">
        <f>VLOOKUP($B2,[12]Complaints!$A$4:$AJ$39,34,)</f>
        <v>0</v>
      </c>
      <c r="P39" s="69">
        <f t="shared" si="6"/>
        <v>0</v>
      </c>
      <c r="Q39" s="70" t="str">
        <f>IF(P39=0,"",P39/$P10)</f>
        <v/>
      </c>
      <c r="R39" s="18"/>
    </row>
    <row r="40" spans="2:18" ht="15.75" customHeight="1" x14ac:dyDescent="0.2">
      <c r="B40" s="146"/>
      <c r="C40" s="38" t="s">
        <v>116</v>
      </c>
      <c r="D40" s="66">
        <f>VLOOKUP($B2,[1]Complaints!$A$4:$AJ$39,35,)</f>
        <v>0</v>
      </c>
      <c r="E40" s="67">
        <f>VLOOKUP($B2,[2]Complaints!$A$4:$AJ$39,35,)</f>
        <v>0</v>
      </c>
      <c r="F40" s="67">
        <f>VLOOKUP($B2,[3]Complaints!$A$4:$AJ$39,35,)</f>
        <v>0</v>
      </c>
      <c r="G40" s="67">
        <f>VLOOKUP($B2,[4]Complaints!$A$4:$AJ$39,35,)</f>
        <v>0</v>
      </c>
      <c r="H40" s="67">
        <f>VLOOKUP($B2,[5]Complaints!$A$4:$AJ$39,35,)</f>
        <v>0</v>
      </c>
      <c r="I40" s="67">
        <f>VLOOKUP($B2,[6]Complaints!$A$4:$AJ$39,35,)</f>
        <v>0</v>
      </c>
      <c r="J40" s="67">
        <f>VLOOKUP($B2,[7]Complaints!$A$4:$AJ$39,35,)</f>
        <v>0</v>
      </c>
      <c r="K40" s="67">
        <f>VLOOKUP($B2,[8]Complaints!$A$4:$AJ$39,35,)</f>
        <v>0</v>
      </c>
      <c r="L40" s="67">
        <f>VLOOKUP($B2,[9]Complaints!$A$4:$AJ$39,35,)</f>
        <v>0</v>
      </c>
      <c r="M40" s="67">
        <f>VLOOKUP($B2,[10]Complaints!$A$4:$AJ$39,35,)</f>
        <v>0</v>
      </c>
      <c r="N40" s="67">
        <f>VLOOKUP($B2,[11]Complaints!$A$4:$AJ$39,35,)</f>
        <v>0</v>
      </c>
      <c r="O40" s="68">
        <f>VLOOKUP($B2,[12]Complaints!$A$4:$AJ$39,35,)</f>
        <v>0</v>
      </c>
      <c r="P40" s="69">
        <f t="shared" si="6"/>
        <v>0</v>
      </c>
      <c r="Q40" s="70" t="str">
        <f>IF(P40=0,"",P40/$P10)</f>
        <v/>
      </c>
      <c r="R40" s="18"/>
    </row>
    <row r="41" spans="2:18" ht="15.75" customHeight="1" thickBot="1" x14ac:dyDescent="0.25">
      <c r="B41" s="147"/>
      <c r="C41" s="41" t="s">
        <v>117</v>
      </c>
      <c r="D41" s="78">
        <f>VLOOKUP($B2,[1]Complaints!$A$4:$AJ$39,36,)</f>
        <v>0</v>
      </c>
      <c r="E41" s="79">
        <f>VLOOKUP($B2,[2]Complaints!$A$4:$AJ$39,36,)</f>
        <v>0</v>
      </c>
      <c r="F41" s="79">
        <f>VLOOKUP($B2,[3]Complaints!$A$4:$AJ$39,36,)</f>
        <v>0</v>
      </c>
      <c r="G41" s="79">
        <f>VLOOKUP($B2,[4]Complaints!$A$4:$AJ$39,36,)</f>
        <v>0</v>
      </c>
      <c r="H41" s="79">
        <f>VLOOKUP($B2,[5]Complaints!$A$4:$AJ$39,36,)</f>
        <v>0</v>
      </c>
      <c r="I41" s="79">
        <f>VLOOKUP($B2,[6]Complaints!$A$4:$AJ$39,36,)</f>
        <v>0</v>
      </c>
      <c r="J41" s="79">
        <f>VLOOKUP($B2,[7]Complaints!$A$4:$AJ$39,36,)</f>
        <v>0</v>
      </c>
      <c r="K41" s="79">
        <f>VLOOKUP($B2,[8]Complaints!$A$4:$AJ$39,36,)</f>
        <v>0</v>
      </c>
      <c r="L41" s="79">
        <f>VLOOKUP($B2,[9]Complaints!$A$4:$AJ$39,36,)</f>
        <v>0</v>
      </c>
      <c r="M41" s="79">
        <f>VLOOKUP($B2,[10]Complaints!$A$4:$AJ$39,36,)</f>
        <v>0</v>
      </c>
      <c r="N41" s="79">
        <f>VLOOKUP($B2,[11]Complaints!$A$4:$AJ$39,36,)</f>
        <v>0</v>
      </c>
      <c r="O41" s="80">
        <f>VLOOKUP($B2,[12]Complaints!$A$4:$AJ$39,36,)</f>
        <v>0</v>
      </c>
      <c r="P41" s="81">
        <f t="shared" si="6"/>
        <v>0</v>
      </c>
      <c r="Q41" s="82" t="str">
        <f>IF(P41=0,"",P41/$P10)</f>
        <v/>
      </c>
      <c r="R41" s="18"/>
    </row>
    <row r="42" spans="2:18" ht="15.75" customHeight="1" thickBot="1" x14ac:dyDescent="0.25"/>
    <row r="43" spans="2:18" ht="15.75" customHeight="1" x14ac:dyDescent="0.25">
      <c r="B43" s="158" t="s">
        <v>45</v>
      </c>
      <c r="C43" s="159"/>
      <c r="D43" s="32" t="s">
        <v>0</v>
      </c>
      <c r="E43" s="20" t="s">
        <v>1</v>
      </c>
      <c r="F43" s="20" t="s">
        <v>2</v>
      </c>
      <c r="G43" s="20" t="s">
        <v>3</v>
      </c>
      <c r="H43" s="20" t="s">
        <v>4</v>
      </c>
      <c r="I43" s="20" t="s">
        <v>5</v>
      </c>
      <c r="J43" s="20" t="s">
        <v>6</v>
      </c>
      <c r="K43" s="20" t="s">
        <v>7</v>
      </c>
      <c r="L43" s="20" t="s">
        <v>8</v>
      </c>
      <c r="M43" s="20" t="s">
        <v>9</v>
      </c>
      <c r="N43" s="20" t="s">
        <v>10</v>
      </c>
      <c r="O43" s="33" t="s">
        <v>11</v>
      </c>
      <c r="P43" s="35" t="s">
        <v>12</v>
      </c>
      <c r="Q43" s="160" t="s">
        <v>104</v>
      </c>
    </row>
    <row r="44" spans="2:18" ht="15.75" customHeight="1" thickBot="1" x14ac:dyDescent="0.3">
      <c r="B44" s="162" t="s">
        <v>74</v>
      </c>
      <c r="C44" s="163"/>
      <c r="D44" s="34">
        <v>2020</v>
      </c>
      <c r="E44" s="34">
        <v>2020</v>
      </c>
      <c r="F44" s="34">
        <v>2020</v>
      </c>
      <c r="G44" s="34">
        <v>2020</v>
      </c>
      <c r="H44" s="34">
        <v>2020</v>
      </c>
      <c r="I44" s="34">
        <v>2020</v>
      </c>
      <c r="J44" s="34">
        <v>2020</v>
      </c>
      <c r="K44" s="34">
        <v>2020</v>
      </c>
      <c r="L44" s="34">
        <v>2020</v>
      </c>
      <c r="M44" s="25">
        <v>2021</v>
      </c>
      <c r="N44" s="25">
        <v>2021</v>
      </c>
      <c r="O44" s="25">
        <v>2021</v>
      </c>
      <c r="P44" s="36" t="s">
        <v>122</v>
      </c>
      <c r="Q44" s="161"/>
    </row>
    <row r="45" spans="2:18" ht="12.75" customHeight="1" thickBot="1" x14ac:dyDescent="0.25">
      <c r="B45" s="164" t="s">
        <v>38</v>
      </c>
      <c r="C45" s="165"/>
      <c r="D45" s="42">
        <f>VLOOKUP($B44,[1]Complaints!$A$4:$AJ$39,2,)</f>
        <v>231</v>
      </c>
      <c r="E45" s="43">
        <f>VLOOKUP($B44,[2]Complaints!$A$4:$AJ$39,2,)</f>
        <v>314</v>
      </c>
      <c r="F45" s="43">
        <f>VLOOKUP($B44,[3]Complaints!$A$4:$AJ$39,2,)</f>
        <v>467</v>
      </c>
      <c r="G45" s="43">
        <f>VLOOKUP($B44,[4]Complaints!$A$4:$AJ$39,2,)</f>
        <v>767</v>
      </c>
      <c r="H45" s="43">
        <f>VLOOKUP($B44,[5]Complaints!$A$4:$AJ$39,2,)</f>
        <v>757</v>
      </c>
      <c r="I45" s="43">
        <f>VLOOKUP($B44,[6]Complaints!$A$4:$AJ$39,2,)</f>
        <v>936</v>
      </c>
      <c r="J45" s="43">
        <f>VLOOKUP($B44,[7]Complaints!$A$4:$AJ$39,2,)</f>
        <v>966</v>
      </c>
      <c r="K45" s="43">
        <f>VLOOKUP($B44,[8]Complaints!$A$4:$AJ$39,2,)</f>
        <v>966</v>
      </c>
      <c r="L45" s="43">
        <f>VLOOKUP($B44,[9]Complaints!$A$4:$AJ$39,2,)</f>
        <v>809</v>
      </c>
      <c r="M45" s="43">
        <f>VLOOKUP($B44,[10]Complaints!$A$4:$AJ$39,2,)</f>
        <v>606</v>
      </c>
      <c r="N45" s="43">
        <f>VLOOKUP($B44,[11]Complaints!$A$4:$AJ$39,2,)</f>
        <v>0</v>
      </c>
      <c r="O45" s="43">
        <f>VLOOKUP($B44,[12]Complaints!$A$4:$AJ$39,2,)</f>
        <v>0</v>
      </c>
      <c r="P45" s="45">
        <f>SUM(D45:O45)</f>
        <v>6819</v>
      </c>
      <c r="Q45" s="46"/>
      <c r="R45" s="18"/>
    </row>
    <row r="46" spans="2:18" ht="15.75" customHeight="1" x14ac:dyDescent="0.2">
      <c r="B46" s="166" t="s">
        <v>94</v>
      </c>
      <c r="C46" s="167"/>
      <c r="D46" s="47">
        <f>VLOOKUP($B44,[1]Complaints!$A$4:$AF$39,3,)</f>
        <v>0</v>
      </c>
      <c r="E46" s="48">
        <f>VLOOKUP($B44,[2]Complaints!$A$4:$AF$39,3,)</f>
        <v>0</v>
      </c>
      <c r="F46" s="48">
        <f>VLOOKUP($B44,[3]Complaints!$A$4:$AG$39,3,)</f>
        <v>0</v>
      </c>
      <c r="G46" s="48">
        <f>VLOOKUP($B44,[4]Complaints!$A$4:$AG$39,3,)</f>
        <v>0</v>
      </c>
      <c r="H46" s="48">
        <f>VLOOKUP($B44,[5]Complaints!$A$4:$AG$39,3,)</f>
        <v>1</v>
      </c>
      <c r="I46" s="48">
        <f>VLOOKUP($B44,[6]Complaints!$A$4:$AG$39,3,)</f>
        <v>0</v>
      </c>
      <c r="J46" s="48">
        <f>VLOOKUP($B44,[7]Complaints!$A$4:$AG$39,3,)</f>
        <v>2</v>
      </c>
      <c r="K46" s="48">
        <f>VLOOKUP($B44,[8]Complaints!$A$4:$AG$39,3,)</f>
        <v>2</v>
      </c>
      <c r="L46" s="48">
        <f>VLOOKUP($B44,[9]Complaints!$A$4:$AG$39,3,)</f>
        <v>1</v>
      </c>
      <c r="M46" s="48">
        <f>VLOOKUP($B44,[10]Complaints!$A$4:$AG$39,3,)</f>
        <v>0</v>
      </c>
      <c r="N46" s="48">
        <f>VLOOKUP($B44,[11]Complaints!$A$4:$AG$39,3,)</f>
        <v>0</v>
      </c>
      <c r="O46" s="49">
        <f>VLOOKUP($B44,[12]Complaints!$A$4:$AG$39,3,)</f>
        <v>0</v>
      </c>
      <c r="P46" s="45">
        <f>SUM(D46:O46)</f>
        <v>6</v>
      </c>
      <c r="Q46" s="50"/>
      <c r="R46" s="18"/>
    </row>
    <row r="47" spans="2:18" ht="15.75" customHeight="1" x14ac:dyDescent="0.2">
      <c r="B47" s="26"/>
      <c r="C47" s="28" t="s">
        <v>102</v>
      </c>
      <c r="D47" s="51">
        <f>IF(D45=0,"",D46/D45)</f>
        <v>0</v>
      </c>
      <c r="E47" s="52">
        <f t="shared" ref="E47:O47" si="8">IF(E45=0,"",E46/E45)</f>
        <v>0</v>
      </c>
      <c r="F47" s="52">
        <f t="shared" si="8"/>
        <v>0</v>
      </c>
      <c r="G47" s="52">
        <f t="shared" si="8"/>
        <v>0</v>
      </c>
      <c r="H47" s="52">
        <f t="shared" si="8"/>
        <v>1.321003963011889E-3</v>
      </c>
      <c r="I47" s="52">
        <f t="shared" si="8"/>
        <v>0</v>
      </c>
      <c r="J47" s="52">
        <f t="shared" si="8"/>
        <v>2.070393374741201E-3</v>
      </c>
      <c r="K47" s="52">
        <f t="shared" si="8"/>
        <v>2.070393374741201E-3</v>
      </c>
      <c r="L47" s="52">
        <f t="shared" si="8"/>
        <v>1.2360939431396785E-3</v>
      </c>
      <c r="M47" s="52">
        <f t="shared" si="8"/>
        <v>0</v>
      </c>
      <c r="N47" s="52" t="str">
        <f t="shared" si="8"/>
        <v/>
      </c>
      <c r="O47" s="53" t="str">
        <f t="shared" si="8"/>
        <v/>
      </c>
      <c r="P47" s="54">
        <f>IF(P46="","",P46/P45)</f>
        <v>8.7989441267047959E-4</v>
      </c>
      <c r="Q47" s="50"/>
      <c r="R47" s="18"/>
    </row>
    <row r="48" spans="2:18" s="21" customFormat="1" ht="15.75" customHeight="1" x14ac:dyDescent="0.2">
      <c r="B48" s="155" t="s">
        <v>95</v>
      </c>
      <c r="C48" s="156"/>
      <c r="D48" s="47">
        <f>VLOOKUP($B44,[1]Complaints!$A$4:$AF$39,4,)</f>
        <v>0</v>
      </c>
      <c r="E48" s="48">
        <f>VLOOKUP($B44,[2]Complaints!$A$4:$AF$39,4,)</f>
        <v>0</v>
      </c>
      <c r="F48" s="48">
        <f>VLOOKUP($B44,[3]Complaints!$A$4:$AG$39,4,)</f>
        <v>0</v>
      </c>
      <c r="G48" s="48">
        <f>VLOOKUP($B44,[4]Complaints!$A$4:$AG$39,4,)</f>
        <v>0</v>
      </c>
      <c r="H48" s="48">
        <f>VLOOKUP($B44,[5]Complaints!$A$4:$AG$39,4,)</f>
        <v>0</v>
      </c>
      <c r="I48" s="48">
        <f>VLOOKUP($B44,[6]Complaints!$A$4:$AG$39,4,)</f>
        <v>0</v>
      </c>
      <c r="J48" s="48">
        <f>VLOOKUP($B44,[7]Complaints!$A$4:$AG$39,4,)</f>
        <v>1</v>
      </c>
      <c r="K48" s="48">
        <f>VLOOKUP($B44,[8]Complaints!$A$4:$AG$39,4,)</f>
        <v>1</v>
      </c>
      <c r="L48" s="48">
        <f>VLOOKUP($B44,[9]Complaints!$A$4:$AG$39,4,)</f>
        <v>1</v>
      </c>
      <c r="M48" s="48">
        <f>VLOOKUP($B44,[10]Complaints!$A$4:$AG$39,4,)</f>
        <v>0</v>
      </c>
      <c r="N48" s="48">
        <f>VLOOKUP($B44,[11]Complaints!$A$4:$AG$39,4,)</f>
        <v>0</v>
      </c>
      <c r="O48" s="49">
        <f>VLOOKUP($B44,[12]Complaints!$A$4:$AG$39,4,)</f>
        <v>0</v>
      </c>
      <c r="P48" s="55">
        <f t="shared" ref="P48" si="9">SUM(D48:O48)</f>
        <v>3</v>
      </c>
      <c r="Q48" s="50"/>
    </row>
    <row r="49" spans="2:18" ht="15.75" customHeight="1" x14ac:dyDescent="0.2">
      <c r="B49" s="26"/>
      <c r="C49" s="28" t="s">
        <v>98</v>
      </c>
      <c r="D49" s="51">
        <f>IF(D45=0,"",D48/D45)</f>
        <v>0</v>
      </c>
      <c r="E49" s="52">
        <f t="shared" ref="E49:O49" si="10">IF(E45=0,"",E48/E45)</f>
        <v>0</v>
      </c>
      <c r="F49" s="52">
        <f t="shared" si="10"/>
        <v>0</v>
      </c>
      <c r="G49" s="52">
        <f t="shared" si="10"/>
        <v>0</v>
      </c>
      <c r="H49" s="52">
        <f t="shared" si="10"/>
        <v>0</v>
      </c>
      <c r="I49" s="52">
        <f t="shared" si="10"/>
        <v>0</v>
      </c>
      <c r="J49" s="52">
        <f t="shared" si="10"/>
        <v>1.0351966873706005E-3</v>
      </c>
      <c r="K49" s="52">
        <f t="shared" si="10"/>
        <v>1.0351966873706005E-3</v>
      </c>
      <c r="L49" s="52">
        <f t="shared" si="10"/>
        <v>1.2360939431396785E-3</v>
      </c>
      <c r="M49" s="52">
        <f t="shared" si="10"/>
        <v>0</v>
      </c>
      <c r="N49" s="52" t="str">
        <f t="shared" si="10"/>
        <v/>
      </c>
      <c r="O49" s="53" t="str">
        <f t="shared" si="10"/>
        <v/>
      </c>
      <c r="P49" s="54">
        <f>IF(P48="","",P48/P45)</f>
        <v>4.399472063352398E-4</v>
      </c>
      <c r="Q49" s="50"/>
      <c r="R49" s="18"/>
    </row>
    <row r="50" spans="2:18" ht="15.75" customHeight="1" x14ac:dyDescent="0.2">
      <c r="B50" s="155" t="s">
        <v>96</v>
      </c>
      <c r="C50" s="156"/>
      <c r="D50" s="47">
        <f>VLOOKUP($B44,[1]Complaints!$A$4:$AF$39,5,)</f>
        <v>0</v>
      </c>
      <c r="E50" s="48">
        <f>VLOOKUP($B44,[2]Complaints!$A$4:$AF$39,5,)</f>
        <v>0</v>
      </c>
      <c r="F50" s="48">
        <f>VLOOKUP($B44,[3]Complaints!$A$4:$AG$39,5,)</f>
        <v>0</v>
      </c>
      <c r="G50" s="48">
        <f>VLOOKUP($B44,[4]Complaints!$A$4:$AG$39,5,)</f>
        <v>0</v>
      </c>
      <c r="H50" s="48">
        <f>VLOOKUP($B44,[5]Complaints!$A$4:$AG$39,5,)</f>
        <v>1</v>
      </c>
      <c r="I50" s="48">
        <f>VLOOKUP($B44,[6]Complaints!$A$4:$AG$39,5,)</f>
        <v>0</v>
      </c>
      <c r="J50" s="48">
        <f>VLOOKUP($B44,[7]Complaints!$A$4:$AG$39,5,)</f>
        <v>1</v>
      </c>
      <c r="K50" s="48">
        <f>VLOOKUP($B44,[8]Complaints!$A$4:$AG$39,5,)</f>
        <v>1</v>
      </c>
      <c r="L50" s="48">
        <f>VLOOKUP($B44,[9]Complaints!$A$4:$AG$39,5,)</f>
        <v>0</v>
      </c>
      <c r="M50" s="48">
        <f>VLOOKUP($B44,[10]Complaints!$A$4:$AG$39,5,)</f>
        <v>0</v>
      </c>
      <c r="N50" s="48">
        <f>VLOOKUP($B44,[11]Complaints!$A$4:$AG$39,5,)</f>
        <v>0</v>
      </c>
      <c r="O50" s="49">
        <f>VLOOKUP($B44,[12]Complaints!$A$4:$AG$39,5,)</f>
        <v>0</v>
      </c>
      <c r="P50" s="55">
        <f t="shared" ref="P50" si="11">SUM(D50:O50)</f>
        <v>3</v>
      </c>
      <c r="Q50" s="50"/>
      <c r="R50" s="18"/>
    </row>
    <row r="51" spans="2:18" ht="15.75" customHeight="1" x14ac:dyDescent="0.2">
      <c r="B51" s="26"/>
      <c r="C51" s="28" t="s">
        <v>99</v>
      </c>
      <c r="D51" s="51">
        <f>IF(D45=0,"",D50/D45)</f>
        <v>0</v>
      </c>
      <c r="E51" s="52">
        <f t="shared" ref="E51:O51" si="12">IF(E45=0,"",E50/E45)</f>
        <v>0</v>
      </c>
      <c r="F51" s="52">
        <f t="shared" si="12"/>
        <v>0</v>
      </c>
      <c r="G51" s="52">
        <f t="shared" si="12"/>
        <v>0</v>
      </c>
      <c r="H51" s="52">
        <f t="shared" si="12"/>
        <v>1.321003963011889E-3</v>
      </c>
      <c r="I51" s="52">
        <f t="shared" si="12"/>
        <v>0</v>
      </c>
      <c r="J51" s="52">
        <f t="shared" si="12"/>
        <v>1.0351966873706005E-3</v>
      </c>
      <c r="K51" s="52">
        <f t="shared" si="12"/>
        <v>1.0351966873706005E-3</v>
      </c>
      <c r="L51" s="52">
        <f t="shared" si="12"/>
        <v>0</v>
      </c>
      <c r="M51" s="52">
        <f t="shared" si="12"/>
        <v>0</v>
      </c>
      <c r="N51" s="52" t="str">
        <f t="shared" si="12"/>
        <v/>
      </c>
      <c r="O51" s="53" t="str">
        <f t="shared" si="12"/>
        <v/>
      </c>
      <c r="P51" s="54">
        <f>IF(P50="","",P50/P45)</f>
        <v>4.399472063352398E-4</v>
      </c>
      <c r="Q51" s="50"/>
      <c r="R51" s="18"/>
    </row>
    <row r="52" spans="2:18" ht="15.75" customHeight="1" x14ac:dyDescent="0.2">
      <c r="B52" s="157" t="s">
        <v>97</v>
      </c>
      <c r="C52" s="156"/>
      <c r="D52" s="47">
        <f>VLOOKUP($B44,[1]Complaints!$A$4:$AF$39,6,)</f>
        <v>0</v>
      </c>
      <c r="E52" s="48">
        <f>VLOOKUP($B44,[2]Complaints!$A$4:$AF$39,6,)</f>
        <v>0</v>
      </c>
      <c r="F52" s="48">
        <f>VLOOKUP($B44,[3]Complaints!$A$4:$AG$39,6,)</f>
        <v>0</v>
      </c>
      <c r="G52" s="48">
        <f>VLOOKUP($B44,[4]Complaints!$A$4:$AG$39,6,)</f>
        <v>0</v>
      </c>
      <c r="H52" s="48">
        <f>VLOOKUP($B44,[5]Complaints!$A$4:$AG$39,6,)</f>
        <v>1</v>
      </c>
      <c r="I52" s="48">
        <f>VLOOKUP($B44,[6]Complaints!$A$4:$AG$39,6,)</f>
        <v>0</v>
      </c>
      <c r="J52" s="48">
        <f>VLOOKUP($B44,[7]Complaints!$A$4:$AG$39,6,)</f>
        <v>1</v>
      </c>
      <c r="K52" s="48">
        <f>VLOOKUP($B44,[8]Complaints!$A$4:$AG$39,6,)</f>
        <v>1</v>
      </c>
      <c r="L52" s="48">
        <f>VLOOKUP($B44,[9]Complaints!$A$4:$AG$39,6,)</f>
        <v>0</v>
      </c>
      <c r="M52" s="48">
        <f>VLOOKUP($B44,[10]Complaints!$A$4:$AG$39,6,)</f>
        <v>0</v>
      </c>
      <c r="N52" s="48">
        <f>VLOOKUP($B44,[11]Complaints!$A$4:$AG$39,6,)</f>
        <v>0</v>
      </c>
      <c r="O52" s="49">
        <f>VLOOKUP($B44,[12]Complaints!$A$4:$AG$39,6,)</f>
        <v>0</v>
      </c>
      <c r="P52" s="55">
        <f t="shared" ref="P52" si="13">SUM(D52:O52)</f>
        <v>3</v>
      </c>
      <c r="Q52" s="50"/>
      <c r="R52" s="18"/>
    </row>
    <row r="53" spans="2:18" ht="15.75" customHeight="1" thickBot="1" x14ac:dyDescent="0.25">
      <c r="B53" s="27"/>
      <c r="C53" s="29" t="s">
        <v>100</v>
      </c>
      <c r="D53" s="56" t="str">
        <f>IF(D52=0,"",D52/D50)</f>
        <v/>
      </c>
      <c r="E53" s="57" t="str">
        <f t="shared" ref="E53:H53" si="14">IF(E52=0,"",E52/E50)</f>
        <v/>
      </c>
      <c r="F53" s="57" t="str">
        <f t="shared" si="14"/>
        <v/>
      </c>
      <c r="G53" s="57" t="str">
        <f t="shared" si="14"/>
        <v/>
      </c>
      <c r="H53" s="57">
        <f t="shared" si="14"/>
        <v>1</v>
      </c>
      <c r="I53" s="57" t="str">
        <f>IF(I52=0,"",I52/I50)</f>
        <v/>
      </c>
      <c r="J53" s="57">
        <f t="shared" ref="J53:O53" si="15">IF(J52=0,"",J52/J50)</f>
        <v>1</v>
      </c>
      <c r="K53" s="57">
        <f t="shared" si="15"/>
        <v>1</v>
      </c>
      <c r="L53" s="57" t="str">
        <f t="shared" si="15"/>
        <v/>
      </c>
      <c r="M53" s="57" t="str">
        <f t="shared" si="15"/>
        <v/>
      </c>
      <c r="N53" s="57" t="str">
        <f t="shared" si="15"/>
        <v/>
      </c>
      <c r="O53" s="58" t="str">
        <f t="shared" si="15"/>
        <v/>
      </c>
      <c r="P53" s="59">
        <f>IF(P52=0,"",P52/P50)</f>
        <v>1</v>
      </c>
      <c r="Q53" s="60"/>
      <c r="R53" s="18"/>
    </row>
    <row r="54" spans="2:18" ht="15.75" customHeight="1" x14ac:dyDescent="0.2">
      <c r="B54" s="168" t="s">
        <v>103</v>
      </c>
      <c r="C54" s="30" t="s">
        <v>77</v>
      </c>
      <c r="D54" s="61">
        <f>VLOOKUP($B44,[1]Complaints!$A$4:$AJ$39,7,)</f>
        <v>0</v>
      </c>
      <c r="E54" s="43">
        <f>VLOOKUP($B44,[2]Complaints!$A$4:$AJ$39,7,)</f>
        <v>0</v>
      </c>
      <c r="F54" s="43">
        <f>VLOOKUP($B44,[3]Complaints!$A$4:$AJ$39,7,)</f>
        <v>0</v>
      </c>
      <c r="G54" s="43">
        <f>VLOOKUP($B44,[4]Complaints!$A$4:$AJ$39,7,)</f>
        <v>0</v>
      </c>
      <c r="H54" s="43">
        <f>VLOOKUP($B44,[5]Complaints!$A$4:$AJ$39,7,)</f>
        <v>0</v>
      </c>
      <c r="I54" s="43">
        <f>VLOOKUP($B44,[6]Complaints!$A$4:$AJ$39,7,)</f>
        <v>0</v>
      </c>
      <c r="J54" s="43">
        <f>VLOOKUP($B44,[7]Complaints!$A$4:$AJ$39,7,)</f>
        <v>0</v>
      </c>
      <c r="K54" s="43">
        <f>VLOOKUP($B44,[8]Complaints!$A$4:$AJ$39,7,)</f>
        <v>0</v>
      </c>
      <c r="L54" s="43">
        <f>VLOOKUP($B44,[9]Complaints!$A$4:$AJ$39,7,)</f>
        <v>0</v>
      </c>
      <c r="M54" s="43">
        <f>VLOOKUP($B44,[10]Complaints!$A$4:$AJ$39,7,)</f>
        <v>0</v>
      </c>
      <c r="N54" s="43">
        <f>VLOOKUP($B44,[11]Complaints!$A$4:$AJ$39,7,)</f>
        <v>0</v>
      </c>
      <c r="O54" s="44">
        <f>VLOOKUP($B44,[12]Complaints!$A$4:$AJ$39,7,)</f>
        <v>0</v>
      </c>
      <c r="P54" s="45">
        <f>SUM(D54:O54)</f>
        <v>0</v>
      </c>
      <c r="Q54" s="46" t="str">
        <f>IF(P54=0,"",P54/$P46)</f>
        <v/>
      </c>
      <c r="R54" s="18"/>
    </row>
    <row r="55" spans="2:18" ht="15.75" customHeight="1" x14ac:dyDescent="0.2">
      <c r="B55" s="169"/>
      <c r="C55" s="31" t="s">
        <v>89</v>
      </c>
      <c r="D55" s="47">
        <f>VLOOKUP($B44,[1]Complaints!$A$4:$AJ$39,8,)</f>
        <v>0</v>
      </c>
      <c r="E55" s="48">
        <f>VLOOKUP($B44,[2]Complaints!$A$4:$AJ$39,8,)</f>
        <v>0</v>
      </c>
      <c r="F55" s="48">
        <f>VLOOKUP($B44,[3]Complaints!$A$4:$AJ$39,8,)</f>
        <v>0</v>
      </c>
      <c r="G55" s="48">
        <f>VLOOKUP($B44,[4]Complaints!$A$4:$AJ$39,8,)</f>
        <v>0</v>
      </c>
      <c r="H55" s="48">
        <f>VLOOKUP($B44,[5]Complaints!$A$4:$AJ$39,8,)</f>
        <v>1</v>
      </c>
      <c r="I55" s="48">
        <f>VLOOKUP($B44,[6]Complaints!$A$4:$AJ$39,8,)</f>
        <v>0</v>
      </c>
      <c r="J55" s="48">
        <f>VLOOKUP($B44,[7]Complaints!$A$4:$AJ$39,8,)</f>
        <v>0</v>
      </c>
      <c r="K55" s="48">
        <f>VLOOKUP($B44,[8]Complaints!$A$4:$AJ$39,8,)</f>
        <v>0</v>
      </c>
      <c r="L55" s="48">
        <f>VLOOKUP($B44,[9]Complaints!$A$4:$AJ$39,8,)</f>
        <v>0</v>
      </c>
      <c r="M55" s="48">
        <f>VLOOKUP($B44,[10]Complaints!$A$4:$AJ$39,8,)</f>
        <v>0</v>
      </c>
      <c r="N55" s="48">
        <f>VLOOKUP($B44,[11]Complaints!$A$4:$AJ$39,8,)</f>
        <v>0</v>
      </c>
      <c r="O55" s="49">
        <f>VLOOKUP($B44,[12]Complaints!$A$4:$AJ$39,8,)</f>
        <v>0</v>
      </c>
      <c r="P55" s="55">
        <f t="shared" ref="P55:P56" si="16">SUM(D55:O55)</f>
        <v>1</v>
      </c>
      <c r="Q55" s="50">
        <f>IF(P55="","",P55/$P46)</f>
        <v>0.16666666666666666</v>
      </c>
      <c r="R55" s="18"/>
    </row>
    <row r="56" spans="2:18" ht="15.75" customHeight="1" x14ac:dyDescent="0.2">
      <c r="B56" s="169"/>
      <c r="C56" s="31" t="s">
        <v>88</v>
      </c>
      <c r="D56" s="47">
        <f>VLOOKUP($B44,[1]Complaints!$A$4:$AJ$39,9,)</f>
        <v>0</v>
      </c>
      <c r="E56" s="48">
        <f>VLOOKUP($B44,[2]Complaints!$A$4:$AJ$39,9,)</f>
        <v>0</v>
      </c>
      <c r="F56" s="48">
        <f>VLOOKUP($B44,[3]Complaints!$A$4:$AJ$39,9,)</f>
        <v>0</v>
      </c>
      <c r="G56" s="48">
        <f>VLOOKUP($B44,[4]Complaints!$A$4:$AJ$39,9,)</f>
        <v>0</v>
      </c>
      <c r="H56" s="48">
        <f>VLOOKUP($B44,[5]Complaints!$A$4:$AJ$39,9,)</f>
        <v>0</v>
      </c>
      <c r="I56" s="48">
        <f>VLOOKUP($B44,[6]Complaints!$A$4:$AJ$39,9,)</f>
        <v>0</v>
      </c>
      <c r="J56" s="48">
        <f>VLOOKUP($B44,[7]Complaints!$A$4:$AJ$39,9,)</f>
        <v>0</v>
      </c>
      <c r="K56" s="48">
        <f>VLOOKUP($B44,[8]Complaints!$A$4:$AJ$39,9,)</f>
        <v>0</v>
      </c>
      <c r="L56" s="48">
        <f>VLOOKUP($B44,[9]Complaints!$A$4:$AJ$39,9,)</f>
        <v>0</v>
      </c>
      <c r="M56" s="48">
        <f>VLOOKUP($B44,[10]Complaints!$A$4:$AJ$39,9,)</f>
        <v>0</v>
      </c>
      <c r="N56" s="48">
        <f>VLOOKUP($B44,[11]Complaints!$A$4:$AJ$39,9,)</f>
        <v>0</v>
      </c>
      <c r="O56" s="49">
        <f>VLOOKUP($B44,[12]Complaints!$A$4:$AJ$39,9,)</f>
        <v>0</v>
      </c>
      <c r="P56" s="55">
        <f t="shared" si="16"/>
        <v>0</v>
      </c>
      <c r="Q56" s="50" t="str">
        <f>IF(P56=0,"",P56/$P46)</f>
        <v/>
      </c>
      <c r="R56" s="18"/>
    </row>
    <row r="57" spans="2:18" ht="15.75" customHeight="1" x14ac:dyDescent="0.2">
      <c r="B57" s="169"/>
      <c r="C57" s="31" t="s">
        <v>13</v>
      </c>
      <c r="D57" s="47">
        <f>VLOOKUP($B44,[1]Complaints!$A$4:$AJ$39,10,)</f>
        <v>0</v>
      </c>
      <c r="E57" s="48">
        <f>VLOOKUP($B44,[2]Complaints!$A$4:$AJ$39,10,)</f>
        <v>0</v>
      </c>
      <c r="F57" s="48">
        <f>VLOOKUP($B44,[3]Complaints!$A$4:$AJ$39,10,)</f>
        <v>0</v>
      </c>
      <c r="G57" s="48">
        <f>VLOOKUP($B44,[4]Complaints!$A$4:$AJ$39,10,)</f>
        <v>0</v>
      </c>
      <c r="H57" s="48">
        <f>VLOOKUP($B44,[5]Complaints!$A$4:$AJ$39,10,)</f>
        <v>0</v>
      </c>
      <c r="I57" s="48">
        <f>VLOOKUP($B44,[6]Complaints!$A$4:$AJ$39,10,)</f>
        <v>0</v>
      </c>
      <c r="J57" s="48">
        <f>VLOOKUP($B44,[7]Complaints!$A$4:$AJ$39,10,)</f>
        <v>0</v>
      </c>
      <c r="K57" s="48">
        <f>VLOOKUP($B44,[8]Complaints!$A$4:$AJ$39,10,)</f>
        <v>0</v>
      </c>
      <c r="L57" s="48">
        <f>VLOOKUP($B44,[9]Complaints!$A$4:$AJ$39,10,)</f>
        <v>1</v>
      </c>
      <c r="M57" s="48">
        <f>VLOOKUP($B44,[10]Complaints!$A$4:$AJ$39,10,)</f>
        <v>0</v>
      </c>
      <c r="N57" s="48">
        <f>VLOOKUP($B44,[11]Complaints!$A$4:$AJ$39,10,)</f>
        <v>0</v>
      </c>
      <c r="O57" s="49">
        <f>VLOOKUP($B44,[12]Complaints!$A$4:$AJ$39,10,)</f>
        <v>0</v>
      </c>
      <c r="P57" s="55">
        <f>SUM(D57:O57)</f>
        <v>1</v>
      </c>
      <c r="Q57" s="50">
        <f>IF(P57=0,"",P57/$P46)</f>
        <v>0.16666666666666666</v>
      </c>
      <c r="R57" s="18"/>
    </row>
    <row r="58" spans="2:18" ht="15.75" customHeight="1" x14ac:dyDescent="0.2">
      <c r="B58" s="169"/>
      <c r="C58" s="31" t="s">
        <v>101</v>
      </c>
      <c r="D58" s="47">
        <f>VLOOKUP($B44,[1]Complaints!$A$4:$AJ$39,11,)</f>
        <v>0</v>
      </c>
      <c r="E58" s="48">
        <f>VLOOKUP($B44,[2]Complaints!$A$4:$AJ$39,11,)</f>
        <v>0</v>
      </c>
      <c r="F58" s="48">
        <f>VLOOKUP($B44,[3]Complaints!$A$4:$AJ$39,11,)</f>
        <v>0</v>
      </c>
      <c r="G58" s="48">
        <f>VLOOKUP($B44,[4]Complaints!$A$4:$AJ$39,11,)</f>
        <v>0</v>
      </c>
      <c r="H58" s="48">
        <f>VLOOKUP($B44,[5]Complaints!$A$4:$AJ$39,11,)</f>
        <v>0</v>
      </c>
      <c r="I58" s="48">
        <f>VLOOKUP($B44,[6]Complaints!$A$4:$AJ$39,11,)</f>
        <v>0</v>
      </c>
      <c r="J58" s="48">
        <f>VLOOKUP($B44,[7]Complaints!$A$4:$AJ$39,11,)</f>
        <v>0</v>
      </c>
      <c r="K58" s="48">
        <f>VLOOKUP($B44,[8]Complaints!$A$4:$AJ$39,11,)</f>
        <v>0</v>
      </c>
      <c r="L58" s="48">
        <f>VLOOKUP($B44,[9]Complaints!$A$4:$AJ$39,11,)</f>
        <v>0</v>
      </c>
      <c r="M58" s="48">
        <f>VLOOKUP($B44,[10]Complaints!$A$4:$AJ$39,11,)</f>
        <v>0</v>
      </c>
      <c r="N58" s="48">
        <f>VLOOKUP($B44,[11]Complaints!$A$4:$AJ$39,11,)</f>
        <v>0</v>
      </c>
      <c r="O58" s="49">
        <f>VLOOKUP($B44,[12]Complaints!$A$4:$AJ$39,11,)</f>
        <v>0</v>
      </c>
      <c r="P58" s="55">
        <f t="shared" ref="P58:P67" si="17">SUM(D58:O58)</f>
        <v>0</v>
      </c>
      <c r="Q58" s="50" t="str">
        <f>IF(P58=0,"",P58/$P46)</f>
        <v/>
      </c>
      <c r="R58" s="18"/>
    </row>
    <row r="59" spans="2:18" s="19" customFormat="1" ht="15.75" customHeight="1" x14ac:dyDescent="0.2">
      <c r="B59" s="169"/>
      <c r="C59" s="31" t="s">
        <v>93</v>
      </c>
      <c r="D59" s="47">
        <f>VLOOKUP($B44,[1]Complaints!$A$4:$AJ$39,12,)</f>
        <v>0</v>
      </c>
      <c r="E59" s="48">
        <f>VLOOKUP($B44,[2]Complaints!$A$4:$AJ$39,12,)</f>
        <v>0</v>
      </c>
      <c r="F59" s="48">
        <f>VLOOKUP($B44,[3]Complaints!$A$4:$AJ$39,12,)</f>
        <v>0</v>
      </c>
      <c r="G59" s="48">
        <f>VLOOKUP($B44,[4]Complaints!$A$4:$AJ$39,12,)</f>
        <v>0</v>
      </c>
      <c r="H59" s="48">
        <f>VLOOKUP($B44,[5]Complaints!$A$4:$AJ$39,12,)</f>
        <v>0</v>
      </c>
      <c r="I59" s="48">
        <f>VLOOKUP($B44,[6]Complaints!$A$4:$AJ$39,12,)</f>
        <v>0</v>
      </c>
      <c r="J59" s="48">
        <f>VLOOKUP($B44,[7]Complaints!$A$4:$AJ$39,12,)</f>
        <v>1</v>
      </c>
      <c r="K59" s="48">
        <f>VLOOKUP($B44,[8]Complaints!$A$4:$AJ$39,12,)</f>
        <v>0</v>
      </c>
      <c r="L59" s="48">
        <f>VLOOKUP($B44,[9]Complaints!$A$4:$AJ$39,12,)</f>
        <v>0</v>
      </c>
      <c r="M59" s="48">
        <f>VLOOKUP($B44,[10]Complaints!$A$4:$AJ$39,12,)</f>
        <v>0</v>
      </c>
      <c r="N59" s="48">
        <f>VLOOKUP($B44,[11]Complaints!$A$4:$AJ$39,12,)</f>
        <v>0</v>
      </c>
      <c r="O59" s="49">
        <f>VLOOKUP($B44,[12]Complaints!$A$4:$AJ$39,12,)</f>
        <v>0</v>
      </c>
      <c r="P59" s="55">
        <f t="shared" si="17"/>
        <v>1</v>
      </c>
      <c r="Q59" s="50">
        <f>IF(P59=0,"",P59/$P46)</f>
        <v>0.16666666666666666</v>
      </c>
    </row>
    <row r="60" spans="2:18" ht="15.75" customHeight="1" x14ac:dyDescent="0.2">
      <c r="B60" s="169"/>
      <c r="C60" s="31" t="s">
        <v>78</v>
      </c>
      <c r="D60" s="47">
        <f>VLOOKUP($B44,[1]Complaints!$A$4:$AJ$39,13,)</f>
        <v>0</v>
      </c>
      <c r="E60" s="48">
        <f>VLOOKUP($B44,[2]Complaints!$A$4:$AJ$39,13,)</f>
        <v>0</v>
      </c>
      <c r="F60" s="48">
        <f>VLOOKUP($B44,[3]Complaints!$A$4:$AJ$39,13,)</f>
        <v>0</v>
      </c>
      <c r="G60" s="48">
        <f>VLOOKUP($B44,[4]Complaints!$A$4:$AJ$39,13,)</f>
        <v>0</v>
      </c>
      <c r="H60" s="48">
        <f>VLOOKUP($B44,[5]Complaints!$A$4:$AJ$39,13,)</f>
        <v>0</v>
      </c>
      <c r="I60" s="48">
        <f>VLOOKUP($B44,[6]Complaints!$A$4:$AJ$39,13,)</f>
        <v>0</v>
      </c>
      <c r="J60" s="48">
        <f>VLOOKUP($B44,[7]Complaints!$A$4:$AJ$39,13,)</f>
        <v>0</v>
      </c>
      <c r="K60" s="48">
        <f>VLOOKUP($B44,[8]Complaints!$A$4:$AJ$39,13,)</f>
        <v>0</v>
      </c>
      <c r="L60" s="48">
        <f>VLOOKUP($B44,[9]Complaints!$A$4:$AJ$39,13,)</f>
        <v>0</v>
      </c>
      <c r="M60" s="48">
        <f>VLOOKUP($B44,[10]Complaints!$A$4:$AJ$39,13,)</f>
        <v>0</v>
      </c>
      <c r="N60" s="48">
        <f>VLOOKUP($B44,[11]Complaints!$A$4:$AJ$39,13,)</f>
        <v>0</v>
      </c>
      <c r="O60" s="49">
        <f>VLOOKUP($B44,[12]Complaints!$A$4:$AJ$39,13,)</f>
        <v>0</v>
      </c>
      <c r="P60" s="55">
        <f t="shared" si="17"/>
        <v>0</v>
      </c>
      <c r="Q60" s="50" t="str">
        <f>IF(P60=0,"",P60/$P46)</f>
        <v/>
      </c>
      <c r="R60" s="18"/>
    </row>
    <row r="61" spans="2:18" ht="15.75" customHeight="1" x14ac:dyDescent="0.2">
      <c r="B61" s="169"/>
      <c r="C61" s="31" t="s">
        <v>92</v>
      </c>
      <c r="D61" s="47">
        <f>VLOOKUP($B44,[1]Complaints!$A$4:$AJ$39,14,)</f>
        <v>0</v>
      </c>
      <c r="E61" s="48">
        <f>VLOOKUP($B44,[2]Complaints!$A$4:$AJ$39,14,)</f>
        <v>0</v>
      </c>
      <c r="F61" s="48">
        <f>VLOOKUP($B44,[3]Complaints!$A$4:$AJ$39,14,)</f>
        <v>0</v>
      </c>
      <c r="G61" s="48">
        <f>VLOOKUP($B44,[4]Complaints!$A$4:$AJ$39,14,)</f>
        <v>0</v>
      </c>
      <c r="H61" s="48">
        <f>VLOOKUP($B44,[5]Complaints!$A$4:$AJ$39,14,)</f>
        <v>0</v>
      </c>
      <c r="I61" s="48">
        <f>VLOOKUP($B44,[6]Complaints!$A$4:$AJ$39,14,)</f>
        <v>0</v>
      </c>
      <c r="J61" s="48">
        <f>VLOOKUP($B44,[7]Complaints!$A$4:$AJ$39,14,)</f>
        <v>0</v>
      </c>
      <c r="K61" s="48">
        <f>VLOOKUP($B44,[8]Complaints!$A$4:$AJ$39,14,)</f>
        <v>0</v>
      </c>
      <c r="L61" s="48">
        <f>VLOOKUP($B44,[9]Complaints!$A$4:$AJ$39,14,)</f>
        <v>0</v>
      </c>
      <c r="M61" s="48">
        <f>VLOOKUP($B44,[10]Complaints!$A$4:$AJ$39,14,)</f>
        <v>0</v>
      </c>
      <c r="N61" s="48">
        <f>VLOOKUP($B44,[11]Complaints!$A$4:$AJ$39,14,)</f>
        <v>0</v>
      </c>
      <c r="O61" s="49">
        <f>VLOOKUP($B44,[12]Complaints!$A$4:$AJ$39,14,)</f>
        <v>0</v>
      </c>
      <c r="P61" s="55">
        <f t="shared" si="17"/>
        <v>0</v>
      </c>
      <c r="Q61" s="50" t="str">
        <f>IF(P61=0,"",P61/$P46)</f>
        <v/>
      </c>
      <c r="R61" s="18"/>
    </row>
    <row r="62" spans="2:18" ht="15.75" customHeight="1" x14ac:dyDescent="0.2">
      <c r="B62" s="169"/>
      <c r="C62" s="31" t="s">
        <v>91</v>
      </c>
      <c r="D62" s="47">
        <f>VLOOKUP($B44,[1]Complaints!$A$4:$AJ$39,15,)</f>
        <v>0</v>
      </c>
      <c r="E62" s="48">
        <f>VLOOKUP($B44,[2]Complaints!$A$4:$AJ$39,15,)</f>
        <v>0</v>
      </c>
      <c r="F62" s="48">
        <f>VLOOKUP($B44,[3]Complaints!$A$4:$AJ$39,15,)</f>
        <v>0</v>
      </c>
      <c r="G62" s="48">
        <f>VLOOKUP($B44,[4]Complaints!$A$4:$AJ$39,15,)</f>
        <v>0</v>
      </c>
      <c r="H62" s="48">
        <f>VLOOKUP($B44,[5]Complaints!$A$4:$AJ$39,15,)</f>
        <v>0</v>
      </c>
      <c r="I62" s="48">
        <f>VLOOKUP($B44,[6]Complaints!$A$4:$AJ$39,15,)</f>
        <v>0</v>
      </c>
      <c r="J62" s="48">
        <f>VLOOKUP($B44,[7]Complaints!$A$4:$AJ$39,15,)</f>
        <v>0</v>
      </c>
      <c r="K62" s="48">
        <f>VLOOKUP($B44,[8]Complaints!$A$4:$AJ$39,15,)</f>
        <v>0</v>
      </c>
      <c r="L62" s="48">
        <f>VLOOKUP($B44,[9]Complaints!$A$4:$AJ$39,15,)</f>
        <v>0</v>
      </c>
      <c r="M62" s="48">
        <f>VLOOKUP($B44,[10]Complaints!$A$4:$AJ$39,15,)</f>
        <v>0</v>
      </c>
      <c r="N62" s="48">
        <f>VLOOKUP($B44,[11]Complaints!$A$4:$AJ$39,15,)</f>
        <v>0</v>
      </c>
      <c r="O62" s="49">
        <f>VLOOKUP($B44,[12]Complaints!$A$4:$AJ$39,15,)</f>
        <v>0</v>
      </c>
      <c r="P62" s="55">
        <f t="shared" si="17"/>
        <v>0</v>
      </c>
      <c r="Q62" s="50" t="str">
        <f>IF(P62=0,"",P62/$P46)</f>
        <v/>
      </c>
      <c r="R62" s="18"/>
    </row>
    <row r="63" spans="2:18" ht="15.75" customHeight="1" x14ac:dyDescent="0.2">
      <c r="B63" s="169"/>
      <c r="C63" s="31" t="s">
        <v>79</v>
      </c>
      <c r="D63" s="47">
        <f>VLOOKUP($B44,[1]Complaints!$A$4:$AJ$39,16,)</f>
        <v>0</v>
      </c>
      <c r="E63" s="48">
        <f>VLOOKUP($B44,[2]Complaints!$A$4:$AJ$39,16,)</f>
        <v>0</v>
      </c>
      <c r="F63" s="48">
        <f>VLOOKUP($B44,[3]Complaints!$A$4:$AJ$39,16,)</f>
        <v>0</v>
      </c>
      <c r="G63" s="48">
        <f>VLOOKUP($B44,[4]Complaints!$A$4:$AJ$39,16,)</f>
        <v>0</v>
      </c>
      <c r="H63" s="48">
        <f>VLOOKUP($B44,[5]Complaints!$A$4:$AJ$39,16,)</f>
        <v>0</v>
      </c>
      <c r="I63" s="48">
        <f>VLOOKUP($B44,[6]Complaints!$A$4:$AJ$39,16,)</f>
        <v>0</v>
      </c>
      <c r="J63" s="48">
        <f>VLOOKUP($B44,[7]Complaints!$A$4:$AJ$39,16,)</f>
        <v>1</v>
      </c>
      <c r="K63" s="48">
        <f>VLOOKUP($B44,[8]Complaints!$A$4:$AJ$39,16,)</f>
        <v>0</v>
      </c>
      <c r="L63" s="48">
        <f>VLOOKUP($B44,[9]Complaints!$A$4:$AJ$39,16,)</f>
        <v>0</v>
      </c>
      <c r="M63" s="48">
        <f>VLOOKUP($B44,[10]Complaints!$A$4:$AJ$39,16,)</f>
        <v>0</v>
      </c>
      <c r="N63" s="48">
        <f>VLOOKUP($B44,[11]Complaints!$A$4:$AJ$39,16,)</f>
        <v>0</v>
      </c>
      <c r="O63" s="49">
        <f>VLOOKUP($B44,[12]Complaints!$A$4:$AJ$39,16,)</f>
        <v>0</v>
      </c>
      <c r="P63" s="55">
        <f t="shared" si="17"/>
        <v>1</v>
      </c>
      <c r="Q63" s="50">
        <f>IF(P63=0,"",P63/$P46)</f>
        <v>0.16666666666666666</v>
      </c>
      <c r="R63" s="18"/>
    </row>
    <row r="64" spans="2:18" ht="15.75" customHeight="1" x14ac:dyDescent="0.2">
      <c r="B64" s="169"/>
      <c r="C64" s="31" t="s">
        <v>80</v>
      </c>
      <c r="D64" s="47">
        <f>VLOOKUP($B44,[1]Complaints!$A$4:$AJ$39,17,)</f>
        <v>0</v>
      </c>
      <c r="E64" s="48">
        <f>VLOOKUP($B44,[2]Complaints!$A$4:$AJ$39,17,)</f>
        <v>0</v>
      </c>
      <c r="F64" s="48">
        <f>VLOOKUP($B44,[3]Complaints!$A$4:$AJ$39,17,)</f>
        <v>0</v>
      </c>
      <c r="G64" s="48">
        <f>VLOOKUP($B44,[4]Complaints!$A$4:$AJ$39,17,)</f>
        <v>0</v>
      </c>
      <c r="H64" s="48">
        <f>VLOOKUP($B44,[5]Complaints!$A$4:$AJ$39,17,)</f>
        <v>0</v>
      </c>
      <c r="I64" s="48">
        <f>VLOOKUP($B44,[6]Complaints!$A$4:$AJ$39,17,)</f>
        <v>0</v>
      </c>
      <c r="J64" s="48">
        <f>VLOOKUP($B44,[7]Complaints!$A$4:$AJ$39,17,)</f>
        <v>0</v>
      </c>
      <c r="K64" s="48">
        <f>VLOOKUP($B44,[8]Complaints!$A$4:$AJ$39,17,)</f>
        <v>0</v>
      </c>
      <c r="L64" s="48">
        <f>VLOOKUP($B44,[9]Complaints!$A$4:$AJ$39,17,)</f>
        <v>0</v>
      </c>
      <c r="M64" s="48">
        <f>VLOOKUP($B44,[10]Complaints!$A$4:$AJ$39,17,)</f>
        <v>0</v>
      </c>
      <c r="N64" s="48">
        <f>VLOOKUP($B44,[11]Complaints!$A$4:$AJ$39,17,)</f>
        <v>0</v>
      </c>
      <c r="O64" s="49">
        <f>VLOOKUP($B44,[12]Complaints!$A$4:$AJ$39,17,)</f>
        <v>0</v>
      </c>
      <c r="P64" s="55">
        <f t="shared" si="17"/>
        <v>0</v>
      </c>
      <c r="Q64" s="50" t="str">
        <f>IF(P64=0,"",P64/$P46)</f>
        <v/>
      </c>
      <c r="R64" s="18"/>
    </row>
    <row r="65" spans="1:19" ht="15.75" customHeight="1" x14ac:dyDescent="0.2">
      <c r="B65" s="169"/>
      <c r="C65" s="31" t="s">
        <v>81</v>
      </c>
      <c r="D65" s="47">
        <f>VLOOKUP($B44,[1]Complaints!$A$4:$AJ$39,18,)</f>
        <v>0</v>
      </c>
      <c r="E65" s="48">
        <f>VLOOKUP($B44,[2]Complaints!$A$4:$AJ$39,18,)</f>
        <v>0</v>
      </c>
      <c r="F65" s="48">
        <f>VLOOKUP($B44,[3]Complaints!$A$4:$AJ$39,18,)</f>
        <v>0</v>
      </c>
      <c r="G65" s="48">
        <f>VLOOKUP($B44,[4]Complaints!$A$4:$AJ$39,18,)</f>
        <v>0</v>
      </c>
      <c r="H65" s="48">
        <f>VLOOKUP($B44,[5]Complaints!$A$4:$AJ$39,18,)</f>
        <v>0</v>
      </c>
      <c r="I65" s="48">
        <f>VLOOKUP($B44,[6]Complaints!$A$4:$AJ$39,18,)</f>
        <v>0</v>
      </c>
      <c r="J65" s="48">
        <f>VLOOKUP($B44,[7]Complaints!$A$4:$AJ$39,18,)</f>
        <v>0</v>
      </c>
      <c r="K65" s="48">
        <f>VLOOKUP($B44,[8]Complaints!$A$4:$AJ$39,18,)</f>
        <v>0</v>
      </c>
      <c r="L65" s="48">
        <f>VLOOKUP($B44,[9]Complaints!$A$4:$AJ$39,18,)</f>
        <v>0</v>
      </c>
      <c r="M65" s="48">
        <f>VLOOKUP($B44,[10]Complaints!$A$4:$AJ$39,18,)</f>
        <v>0</v>
      </c>
      <c r="N65" s="48">
        <f>VLOOKUP($B44,[11]Complaints!$A$4:$AJ$39,18,)</f>
        <v>0</v>
      </c>
      <c r="O65" s="49">
        <f>VLOOKUP($B44,[12]Complaints!$A$4:$AJ$39,18,)</f>
        <v>0</v>
      </c>
      <c r="P65" s="55">
        <f t="shared" si="17"/>
        <v>0</v>
      </c>
      <c r="Q65" s="50" t="str">
        <f>IF(P65=0,"",P65/$P46)</f>
        <v/>
      </c>
      <c r="R65" s="18"/>
    </row>
    <row r="66" spans="1:19" ht="15.75" customHeight="1" x14ac:dyDescent="0.2">
      <c r="B66" s="169"/>
      <c r="C66" s="31" t="s">
        <v>82</v>
      </c>
      <c r="D66" s="47">
        <f>VLOOKUP($B44,[1]Complaints!$A$4:$AJ$39,19,)</f>
        <v>0</v>
      </c>
      <c r="E66" s="48">
        <f>VLOOKUP($B44,[2]Complaints!$A$4:$AJ$39,19,)</f>
        <v>0</v>
      </c>
      <c r="F66" s="48">
        <f>VLOOKUP($B44,[3]Complaints!$A$4:$AJ$39,19,)</f>
        <v>0</v>
      </c>
      <c r="G66" s="48">
        <f>VLOOKUP($B44,[4]Complaints!$A$4:$AJ$39,19,)</f>
        <v>0</v>
      </c>
      <c r="H66" s="48">
        <f>VLOOKUP($B44,[5]Complaints!$A$4:$AJ$39,19,)</f>
        <v>0</v>
      </c>
      <c r="I66" s="48">
        <f>VLOOKUP($B44,[6]Complaints!$A$4:$AJ$39,19,)</f>
        <v>0</v>
      </c>
      <c r="J66" s="48">
        <f>VLOOKUP($B44,[7]Complaints!$A$4:$AJ$39,19,)</f>
        <v>0</v>
      </c>
      <c r="K66" s="48">
        <f>VLOOKUP($B44,[8]Complaints!$A$4:$AJ$39,19,)</f>
        <v>0</v>
      </c>
      <c r="L66" s="48">
        <f>VLOOKUP($B44,[9]Complaints!$A$4:$AJ$39,19,)</f>
        <v>0</v>
      </c>
      <c r="M66" s="48">
        <f>VLOOKUP($B44,[10]Complaints!$A$4:$AJ$39,19,)</f>
        <v>0</v>
      </c>
      <c r="N66" s="48">
        <f>VLOOKUP($B44,[11]Complaints!$A$4:$AJ$39,19,)</f>
        <v>0</v>
      </c>
      <c r="O66" s="49">
        <f>VLOOKUP($B44,[12]Complaints!$A$4:$AJ$39,19,)</f>
        <v>0</v>
      </c>
      <c r="P66" s="55">
        <f t="shared" si="17"/>
        <v>0</v>
      </c>
      <c r="Q66" s="50" t="str">
        <f>IF(P66=0,"",P66/$P46)</f>
        <v/>
      </c>
      <c r="R66" s="18"/>
    </row>
    <row r="67" spans="1:19" ht="15.75" customHeight="1" thickBot="1" x14ac:dyDescent="0.25">
      <c r="B67" s="170"/>
      <c r="C67" s="31" t="s">
        <v>83</v>
      </c>
      <c r="D67" s="47">
        <f>VLOOKUP($B44,[1]Complaints!$A$4:$AJ$39,20,)</f>
        <v>0</v>
      </c>
      <c r="E67" s="48">
        <f>VLOOKUP($B44,[2]Complaints!$A$4:$AJ$39,20,)</f>
        <v>0</v>
      </c>
      <c r="F67" s="48">
        <f>VLOOKUP($B44,[3]Complaints!$A$4:$AJ$39,20,)</f>
        <v>0</v>
      </c>
      <c r="G67" s="48">
        <f>VLOOKUP($B44,[4]Complaints!$A$4:$AJ$39,20,)</f>
        <v>0</v>
      </c>
      <c r="H67" s="48">
        <f>VLOOKUP($B44,[5]Complaints!$A$4:$AJ$39,20,)</f>
        <v>0</v>
      </c>
      <c r="I67" s="48">
        <f>VLOOKUP($B44,[6]Complaints!$A$4:$AJ$39,20,)</f>
        <v>0</v>
      </c>
      <c r="J67" s="48">
        <f>VLOOKUP($B44,[7]Complaints!$A$4:$AJ$39,20,)</f>
        <v>0</v>
      </c>
      <c r="K67" s="48">
        <f>VLOOKUP($B44,[8]Complaints!$A$4:$AJ$39,20,)</f>
        <v>0</v>
      </c>
      <c r="L67" s="48">
        <f>VLOOKUP($B44,[9]Complaints!$A$4:$AJ$39,20,)</f>
        <v>0</v>
      </c>
      <c r="M67" s="48">
        <f>VLOOKUP($B44,[10]Complaints!$A$4:$AJ$39,20,)</f>
        <v>0</v>
      </c>
      <c r="N67" s="48">
        <f>VLOOKUP($B44,[11]Complaints!$A$4:$AJ$39,20,)</f>
        <v>0</v>
      </c>
      <c r="O67" s="49">
        <f>VLOOKUP($B44,[12]Complaints!$A$4:$AJ$39,20,)</f>
        <v>0</v>
      </c>
      <c r="P67" s="55">
        <f t="shared" si="17"/>
        <v>0</v>
      </c>
      <c r="Q67" s="50" t="str">
        <f>IF(P67=0,"",P67/$P46)</f>
        <v/>
      </c>
      <c r="R67" s="18"/>
    </row>
    <row r="68" spans="1:19" ht="15.75" customHeight="1" x14ac:dyDescent="0.2">
      <c r="B68" s="144" t="s">
        <v>90</v>
      </c>
      <c r="C68" s="37" t="s">
        <v>118</v>
      </c>
      <c r="D68" s="62">
        <f>VLOOKUP($B44,[1]Complaints!$A$4:$AJ$39,21,)</f>
        <v>0</v>
      </c>
      <c r="E68" s="63">
        <f>VLOOKUP($B44,[2]Complaints!$A$4:$AJ$39,21,)</f>
        <v>0</v>
      </c>
      <c r="F68" s="63">
        <f>VLOOKUP($B44,[3]Complaints!$A$4:$AJ$39,21,)</f>
        <v>0</v>
      </c>
      <c r="G68" s="63">
        <f>VLOOKUP($B44,[4]Complaints!$A$4:$AJ$39,21,)</f>
        <v>0</v>
      </c>
      <c r="H68" s="63">
        <f>VLOOKUP($B44,[5]Complaints!$A$4:$AJ$39,21,)</f>
        <v>1</v>
      </c>
      <c r="I68" s="63">
        <f>VLOOKUP($B44,[6]Complaints!$A$4:$AJ$39,21,)</f>
        <v>0</v>
      </c>
      <c r="J68" s="63">
        <f>VLOOKUP($B44,[7]Complaints!$A$4:$AJ$39,21,)</f>
        <v>1</v>
      </c>
      <c r="K68" s="63">
        <f>VLOOKUP($B44,[8]Complaints!$A$4:$AJ$39,21,)</f>
        <v>1</v>
      </c>
      <c r="L68" s="63">
        <f>VLOOKUP($B44,[9]Complaints!$A$4:$AJ$39,21,)</f>
        <v>0</v>
      </c>
      <c r="M68" s="63">
        <f>VLOOKUP($B44,[10]Complaints!$A$4:$AJ$39,21,)</f>
        <v>0</v>
      </c>
      <c r="N68" s="63">
        <f>VLOOKUP($B44,[11]Complaints!$A$4:$AJ$39,21,)</f>
        <v>0</v>
      </c>
      <c r="O68" s="64">
        <f>VLOOKUP($B44,[12]Complaints!$A$4:$AJ$39,21,)</f>
        <v>0</v>
      </c>
      <c r="P68" s="65">
        <f>SUM(D68:O68)</f>
        <v>3</v>
      </c>
      <c r="Q68" s="46">
        <f>IF(P68=0,"",P68/$P52)</f>
        <v>1</v>
      </c>
      <c r="R68" s="18"/>
    </row>
    <row r="69" spans="1:19" ht="15.75" customHeight="1" x14ac:dyDescent="0.2">
      <c r="B69" s="145"/>
      <c r="C69" s="38" t="s">
        <v>77</v>
      </c>
      <c r="D69" s="66">
        <f>VLOOKUP($B44,[1]Complaints!$A$4:$AJ$39,22,)</f>
        <v>0</v>
      </c>
      <c r="E69" s="67">
        <f>VLOOKUP($B44,[2]Complaints!$A$4:$AJ$39,22,)</f>
        <v>0</v>
      </c>
      <c r="F69" s="67">
        <f>VLOOKUP($B44,[3]Complaints!$A$4:$AJ$39,22,)</f>
        <v>0</v>
      </c>
      <c r="G69" s="67">
        <f>VLOOKUP($B44,[4]Complaints!$A$4:$AJ$39,22,)</f>
        <v>0</v>
      </c>
      <c r="H69" s="67">
        <f>VLOOKUP($B44,[5]Complaints!$A$4:$AJ$39,22,)</f>
        <v>0</v>
      </c>
      <c r="I69" s="67">
        <f>VLOOKUP($B44,[6]Complaints!$A$4:$AJ$39,22,)</f>
        <v>0</v>
      </c>
      <c r="J69" s="67">
        <f>VLOOKUP($B44,[7]Complaints!$A$4:$AJ$39,22,)</f>
        <v>0</v>
      </c>
      <c r="K69" s="67">
        <f>VLOOKUP($B44,[8]Complaints!$A$4:$AJ$39,22,)</f>
        <v>0</v>
      </c>
      <c r="L69" s="67">
        <f>VLOOKUP($B44,[9]Complaints!$A$4:$AJ$39,22,)</f>
        <v>0</v>
      </c>
      <c r="M69" s="67">
        <f>VLOOKUP($B44,[10]Complaints!$A$4:$AJ$39,22,)</f>
        <v>0</v>
      </c>
      <c r="N69" s="67">
        <f>VLOOKUP($B44,[11]Complaints!$A$4:$AJ$39,22,)</f>
        <v>0</v>
      </c>
      <c r="O69" s="68">
        <f>VLOOKUP($B44,[12]Complaints!$A$4:$AJ$39,22,)</f>
        <v>0</v>
      </c>
      <c r="P69" s="69">
        <f t="shared" ref="P69:P83" si="18">SUM(D69:O69)</f>
        <v>0</v>
      </c>
      <c r="Q69" s="70" t="str">
        <f>IF(P69=0,"",P69/$P52)</f>
        <v/>
      </c>
      <c r="R69" s="18"/>
    </row>
    <row r="70" spans="1:19" ht="15.75" customHeight="1" x14ac:dyDescent="0.2">
      <c r="B70" s="145"/>
      <c r="C70" s="38" t="s">
        <v>108</v>
      </c>
      <c r="D70" s="66">
        <f>VLOOKUP($B44,[1]Complaints!$A$4:$AJ$39,23,)</f>
        <v>0</v>
      </c>
      <c r="E70" s="67">
        <f>VLOOKUP($B44,[2]Complaints!$A$4:$AJ$39,23,)</f>
        <v>0</v>
      </c>
      <c r="F70" s="67">
        <f>VLOOKUP($B44,[3]Complaints!$A$4:$AJ$39,23,)</f>
        <v>0</v>
      </c>
      <c r="G70" s="67">
        <f>VLOOKUP($B44,[4]Complaints!$A$4:$AJ$39,23,)</f>
        <v>0</v>
      </c>
      <c r="H70" s="67">
        <f>VLOOKUP($B44,[5]Complaints!$A$4:$AJ$39,23,)</f>
        <v>1</v>
      </c>
      <c r="I70" s="67">
        <f>VLOOKUP($B44,[6]Complaints!$A$4:$AJ$39,23,)</f>
        <v>0</v>
      </c>
      <c r="J70" s="67">
        <f>VLOOKUP($B44,[7]Complaints!$A$4:$AJ$39,23,)</f>
        <v>0</v>
      </c>
      <c r="K70" s="67">
        <f>VLOOKUP($B44,[8]Complaints!$A$4:$AJ$39,23,)</f>
        <v>0</v>
      </c>
      <c r="L70" s="67">
        <f>VLOOKUP($B44,[9]Complaints!$A$4:$AJ$39,23,)</f>
        <v>0</v>
      </c>
      <c r="M70" s="67">
        <f>VLOOKUP($B44,[10]Complaints!$A$4:$AJ$39,23,)</f>
        <v>0</v>
      </c>
      <c r="N70" s="67">
        <f>VLOOKUP($B44,[11]Complaints!$A$4:$AJ$39,23,)</f>
        <v>0</v>
      </c>
      <c r="O70" s="68">
        <f>VLOOKUP($B44,[12]Complaints!$A$4:$AJ$39,23,)</f>
        <v>0</v>
      </c>
      <c r="P70" s="69">
        <f t="shared" si="18"/>
        <v>1</v>
      </c>
      <c r="Q70" s="70">
        <f>IF(P70=0,"",P70/$P52)</f>
        <v>0.33333333333333331</v>
      </c>
      <c r="R70" s="18"/>
    </row>
    <row r="71" spans="1:19" ht="15.75" customHeight="1" x14ac:dyDescent="0.2">
      <c r="B71" s="145"/>
      <c r="C71" s="38" t="s">
        <v>88</v>
      </c>
      <c r="D71" s="66">
        <f>VLOOKUP($B44,[1]Complaints!$A$4:$AJ$39,24,)</f>
        <v>0</v>
      </c>
      <c r="E71" s="67">
        <f>VLOOKUP($B44,[2]Complaints!$A$4:$AJ$39,24,)</f>
        <v>0</v>
      </c>
      <c r="F71" s="67">
        <f>VLOOKUP($B44,[3]Complaints!$A$4:$AJ$39,24,)</f>
        <v>0</v>
      </c>
      <c r="G71" s="67">
        <f>VLOOKUP($B44,[4]Complaints!$A$4:$AJ$39,24,)</f>
        <v>0</v>
      </c>
      <c r="H71" s="67">
        <f>VLOOKUP($B44,[5]Complaints!$A$4:$AJ$39,24,)</f>
        <v>0</v>
      </c>
      <c r="I71" s="67">
        <f>VLOOKUP($B44,[6]Complaints!$A$4:$AJ$39,24,)</f>
        <v>0</v>
      </c>
      <c r="J71" s="67">
        <f>VLOOKUP($B44,[7]Complaints!$A$4:$AJ$39,24,)</f>
        <v>0</v>
      </c>
      <c r="K71" s="67">
        <f>VLOOKUP($B44,[8]Complaints!$A$4:$AJ$39,24,)</f>
        <v>0</v>
      </c>
      <c r="L71" s="67">
        <f>VLOOKUP($B44,[9]Complaints!$A$4:$AJ$39,24,)</f>
        <v>0</v>
      </c>
      <c r="M71" s="67">
        <f>VLOOKUP($B44,[10]Complaints!$A$4:$AJ$39,24,)</f>
        <v>0</v>
      </c>
      <c r="N71" s="67">
        <f>VLOOKUP($B44,[11]Complaints!$A$4:$AJ$39,24,)</f>
        <v>0</v>
      </c>
      <c r="O71" s="68">
        <f>VLOOKUP($B44,[12]Complaints!$A$4:$AJ$39,24,)</f>
        <v>0</v>
      </c>
      <c r="P71" s="69">
        <f t="shared" si="18"/>
        <v>0</v>
      </c>
      <c r="Q71" s="70" t="str">
        <f>IF(P71=0,"",P71/$P52)</f>
        <v/>
      </c>
      <c r="R71" s="18"/>
    </row>
    <row r="72" spans="1:19" ht="15.75" customHeight="1" x14ac:dyDescent="0.2">
      <c r="B72" s="145"/>
      <c r="C72" s="38" t="s">
        <v>109</v>
      </c>
      <c r="D72" s="66">
        <f>VLOOKUP($B44,[1]Complaints!$A$4:$AJ$39,25,)</f>
        <v>0</v>
      </c>
      <c r="E72" s="67">
        <f>VLOOKUP($B44,[2]Complaints!$A$4:$AJ$39,25,)</f>
        <v>0</v>
      </c>
      <c r="F72" s="67">
        <f>VLOOKUP($B44,[3]Complaints!$A$4:$AJ$39,25,)</f>
        <v>0</v>
      </c>
      <c r="G72" s="67">
        <f>VLOOKUP($B44,[4]Complaints!$A$4:$AJ$39,25,)</f>
        <v>0</v>
      </c>
      <c r="H72" s="67">
        <f>VLOOKUP($B44,[5]Complaints!$A$4:$AJ$39,25,)</f>
        <v>0</v>
      </c>
      <c r="I72" s="67">
        <f>VLOOKUP($B44,[6]Complaints!$A$4:$AJ$39,25,)</f>
        <v>0</v>
      </c>
      <c r="J72" s="67">
        <f>VLOOKUP($B44,[7]Complaints!$A$4:$AJ$39,25,)</f>
        <v>0</v>
      </c>
      <c r="K72" s="67">
        <f>VLOOKUP($B44,[8]Complaints!$A$4:$AJ$39,25,)</f>
        <v>0</v>
      </c>
      <c r="L72" s="67">
        <f>VLOOKUP($B44,[9]Complaints!$A$4:$AJ$39,25,)</f>
        <v>0</v>
      </c>
      <c r="M72" s="67">
        <f>VLOOKUP($B44,[10]Complaints!$A$4:$AJ$39,25,)</f>
        <v>0</v>
      </c>
      <c r="N72" s="67">
        <f>VLOOKUP($B44,[11]Complaints!$A$4:$AJ$39,25,)</f>
        <v>0</v>
      </c>
      <c r="O72" s="68">
        <f>VLOOKUP($B44,[12]Complaints!$A$4:$AJ$39,25,)</f>
        <v>0</v>
      </c>
      <c r="P72" s="69">
        <f t="shared" si="18"/>
        <v>0</v>
      </c>
      <c r="Q72" s="70" t="str">
        <f>IF(P72=0,"",P72/$P52)</f>
        <v/>
      </c>
      <c r="R72" s="18"/>
    </row>
    <row r="73" spans="1:19" ht="15.75" customHeight="1" x14ac:dyDescent="0.2">
      <c r="A73" s="21"/>
      <c r="B73" s="145"/>
      <c r="C73" s="38" t="s">
        <v>110</v>
      </c>
      <c r="D73" s="66">
        <f>VLOOKUP($B44,[1]Complaints!$A$4:$AJ$39,26,)</f>
        <v>0</v>
      </c>
      <c r="E73" s="67">
        <f>VLOOKUP($B44,[2]Complaints!$A$4:$AJ$39,26,)</f>
        <v>0</v>
      </c>
      <c r="F73" s="67">
        <f>VLOOKUP($B44,[3]Complaints!$A$4:$AJ$39,26,)</f>
        <v>0</v>
      </c>
      <c r="G73" s="67">
        <f>VLOOKUP($B44,[4]Complaints!$A$4:$AJ$39,26,)</f>
        <v>0</v>
      </c>
      <c r="H73" s="67">
        <f>VLOOKUP($B44,[5]Complaints!$A$4:$AJ$39,26,)</f>
        <v>0</v>
      </c>
      <c r="I73" s="67">
        <f>VLOOKUP($B44,[6]Complaints!$A$4:$AJ$39,26,)</f>
        <v>0</v>
      </c>
      <c r="J73" s="67">
        <f>VLOOKUP($B44,[7]Complaints!$A$4:$AJ$39,26,)</f>
        <v>0</v>
      </c>
      <c r="K73" s="67">
        <f>VLOOKUP($B44,[8]Complaints!$A$4:$AJ$39,26,)</f>
        <v>0</v>
      </c>
      <c r="L73" s="67">
        <f>VLOOKUP($B44,[9]Complaints!$A$4:$AJ$39,26,)</f>
        <v>0</v>
      </c>
      <c r="M73" s="67">
        <f>VLOOKUP($B44,[10]Complaints!$A$4:$AJ$39,26,)</f>
        <v>0</v>
      </c>
      <c r="N73" s="67">
        <f>VLOOKUP($B44,[11]Complaints!$A$4:$AJ$39,26,)</f>
        <v>0</v>
      </c>
      <c r="O73" s="68">
        <f>VLOOKUP($B44,[12]Complaints!$A$4:$AJ$39,26,)</f>
        <v>0</v>
      </c>
      <c r="P73" s="69">
        <f t="shared" si="18"/>
        <v>0</v>
      </c>
      <c r="Q73" s="70" t="str">
        <f>IF(P73=0,"",P73/$P52)</f>
        <v/>
      </c>
      <c r="R73" s="18"/>
    </row>
    <row r="74" spans="1:19" s="21" customFormat="1" ht="15.75" customHeight="1" x14ac:dyDescent="0.2">
      <c r="B74" s="145"/>
      <c r="C74" s="39" t="s">
        <v>107</v>
      </c>
      <c r="D74" s="71">
        <f>VLOOKUP($B44,[1]Complaints!$A$4:$AJ$39,27,)</f>
        <v>0</v>
      </c>
      <c r="E74" s="72">
        <f>VLOOKUP($B44,[2]Complaints!$A$4:$AJ$39,27,)</f>
        <v>0</v>
      </c>
      <c r="F74" s="72">
        <f>VLOOKUP($B44,[3]Complaints!$A$4:$AJ$39,27,)</f>
        <v>0</v>
      </c>
      <c r="G74" s="72">
        <f>VLOOKUP($B44,[4]Complaints!$A$4:$AJ$39,27,)</f>
        <v>0</v>
      </c>
      <c r="H74" s="72">
        <f>VLOOKUP($B44,[5]Complaints!$A$4:$AJ$39,27,)</f>
        <v>0</v>
      </c>
      <c r="I74" s="72">
        <f>VLOOKUP($B44,[6]Complaints!$A$4:$AJ$39,27,)</f>
        <v>0</v>
      </c>
      <c r="J74" s="72">
        <f>VLOOKUP($B44,[7]Complaints!$A$4:$AJ$39,27,)</f>
        <v>0</v>
      </c>
      <c r="K74" s="72">
        <f>VLOOKUP($B44,[8]Complaints!$A$4:$AJ$39,27,)</f>
        <v>0</v>
      </c>
      <c r="L74" s="72">
        <f>VLOOKUP($B44,[9]Complaints!$A$4:$AJ$39,27,)</f>
        <v>0</v>
      </c>
      <c r="M74" s="72">
        <f>VLOOKUP($B44,[10]Complaints!$A$4:$AJ$39,27,)</f>
        <v>0</v>
      </c>
      <c r="N74" s="72">
        <f>VLOOKUP($B44,[11]Complaints!$A$4:$AJ$39,27,)</f>
        <v>0</v>
      </c>
      <c r="O74" s="73">
        <f>VLOOKUP($B44,[12]Complaints!$A$4:$AJ$39,27,)</f>
        <v>0</v>
      </c>
      <c r="P74" s="69">
        <f t="shared" si="18"/>
        <v>0</v>
      </c>
      <c r="Q74" s="70" t="str">
        <f>IF(P74=0,"",P74/$P52)</f>
        <v/>
      </c>
      <c r="S74" s="18"/>
    </row>
    <row r="75" spans="1:19" ht="15.75" customHeight="1" x14ac:dyDescent="0.2">
      <c r="B75" s="145"/>
      <c r="C75" s="39" t="s">
        <v>87</v>
      </c>
      <c r="D75" s="71">
        <f>VLOOKUP($B44,[1]Complaints!$A$4:$AJ$39,28,)</f>
        <v>0</v>
      </c>
      <c r="E75" s="72">
        <f>VLOOKUP($B44,[2]Complaints!$A$4:$AJ$39,28,)</f>
        <v>0</v>
      </c>
      <c r="F75" s="72">
        <f>VLOOKUP($B44,[3]Complaints!$A$4:$AJ$39,28,)</f>
        <v>0</v>
      </c>
      <c r="G75" s="72">
        <f>VLOOKUP($B44,[4]Complaints!$A$4:$AJ$39,28,)</f>
        <v>0</v>
      </c>
      <c r="H75" s="72">
        <f>VLOOKUP($B44,[5]Complaints!$A$4:$AJ$39,28,)</f>
        <v>0</v>
      </c>
      <c r="I75" s="72">
        <f>VLOOKUP($B44,[6]Complaints!$A$4:$AJ$39,28,)</f>
        <v>0</v>
      </c>
      <c r="J75" s="72">
        <f>VLOOKUP($B44,[7]Complaints!$A$4:$AJ$39,28,)</f>
        <v>1</v>
      </c>
      <c r="K75" s="72">
        <f>VLOOKUP($B44,[8]Complaints!$A$4:$AJ$39,28,)</f>
        <v>1</v>
      </c>
      <c r="L75" s="72">
        <f>VLOOKUP($B44,[9]Complaints!$A$4:$AJ$39,28,)</f>
        <v>0</v>
      </c>
      <c r="M75" s="72">
        <f>VLOOKUP($B44,[10]Complaints!$A$4:$AJ$39,28,)</f>
        <v>0</v>
      </c>
      <c r="N75" s="72">
        <f>VLOOKUP($B44,[11]Complaints!$A$4:$AJ$39,28,)</f>
        <v>0</v>
      </c>
      <c r="O75" s="73">
        <f>VLOOKUP($B44,[12]Complaints!$A$4:$AJ$39,28,)</f>
        <v>0</v>
      </c>
      <c r="P75" s="69">
        <f t="shared" si="18"/>
        <v>2</v>
      </c>
      <c r="Q75" s="70">
        <f>IF(P75=0,"",P75/$P52)</f>
        <v>0.66666666666666663</v>
      </c>
      <c r="R75" s="18"/>
    </row>
    <row r="76" spans="1:19" ht="15.75" customHeight="1" x14ac:dyDescent="0.2">
      <c r="B76" s="145"/>
      <c r="C76" s="38" t="s">
        <v>111</v>
      </c>
      <c r="D76" s="66">
        <f>VLOOKUP($B44,[1]Complaints!$A$4:$AJ$39,29,)</f>
        <v>0</v>
      </c>
      <c r="E76" s="67">
        <f>VLOOKUP($B44,[2]Complaints!$A$4:$AJ$39,29,)</f>
        <v>0</v>
      </c>
      <c r="F76" s="67">
        <f>VLOOKUP($B44,[3]Complaints!$A$4:$AJ$39,29,)</f>
        <v>0</v>
      </c>
      <c r="G76" s="67">
        <f>VLOOKUP($B44,[4]Complaints!$A$4:$AJ$39,29,)</f>
        <v>0</v>
      </c>
      <c r="H76" s="67">
        <f>VLOOKUP($B44,[5]Complaints!$A$4:$AJ$39,29,)</f>
        <v>0</v>
      </c>
      <c r="I76" s="67">
        <f>VLOOKUP($B44,[6]Complaints!$A$4:$AJ$39,29,)</f>
        <v>0</v>
      </c>
      <c r="J76" s="67">
        <f>VLOOKUP($B44,[7]Complaints!$A$4:$AJ$39,29,)</f>
        <v>0</v>
      </c>
      <c r="K76" s="67">
        <f>VLOOKUP($B44,[8]Complaints!$A$4:$AJ$39,29,)</f>
        <v>0</v>
      </c>
      <c r="L76" s="67">
        <f>VLOOKUP($B44,[9]Complaints!$A$4:$AJ$39,29,)</f>
        <v>0</v>
      </c>
      <c r="M76" s="67">
        <f>VLOOKUP($B44,[10]Complaints!$A$4:$AJ$39,29,)</f>
        <v>0</v>
      </c>
      <c r="N76" s="67">
        <f>VLOOKUP($B44,[11]Complaints!$A$4:$AJ$39,29,)</f>
        <v>0</v>
      </c>
      <c r="O76" s="68">
        <f>VLOOKUP($B44,[12]Complaints!$A$4:$AJ$39,29,)</f>
        <v>0</v>
      </c>
      <c r="P76" s="69">
        <f t="shared" si="18"/>
        <v>0</v>
      </c>
      <c r="Q76" s="70" t="str">
        <f>IF(P76=0,"",P76/$P52)</f>
        <v/>
      </c>
      <c r="R76" s="18"/>
    </row>
    <row r="77" spans="1:19" ht="15.75" customHeight="1" x14ac:dyDescent="0.2">
      <c r="B77" s="145"/>
      <c r="C77" s="38" t="s">
        <v>112</v>
      </c>
      <c r="D77" s="66">
        <f>VLOOKUP($B44,[1]Complaints!$A$4:$AJ$39,30,)</f>
        <v>0</v>
      </c>
      <c r="E77" s="67">
        <f>VLOOKUP($B44,[2]Complaints!$A$4:$AJ$39,30,)</f>
        <v>0</v>
      </c>
      <c r="F77" s="67">
        <f>VLOOKUP($B44,[3]Complaints!$A$4:$AJ$39,30,)</f>
        <v>0</v>
      </c>
      <c r="G77" s="67">
        <f>VLOOKUP($B44,[4]Complaints!$A$4:$AJ$39,30,)</f>
        <v>0</v>
      </c>
      <c r="H77" s="67">
        <f>VLOOKUP($B44,[5]Complaints!$A$4:$AJ$39,30,)</f>
        <v>0</v>
      </c>
      <c r="I77" s="67">
        <f>VLOOKUP($B44,[6]Complaints!$A$4:$AJ$39,30,)</f>
        <v>0</v>
      </c>
      <c r="J77" s="67">
        <f>VLOOKUP($B44,[7]Complaints!$A$4:$AJ$39,30,)</f>
        <v>0</v>
      </c>
      <c r="K77" s="67">
        <f>VLOOKUP($B44,[8]Complaints!$A$4:$AJ$39,30,)</f>
        <v>0</v>
      </c>
      <c r="L77" s="67">
        <f>VLOOKUP($B44,[9]Complaints!$A$4:$AJ$39,30,)</f>
        <v>0</v>
      </c>
      <c r="M77" s="67">
        <f>VLOOKUP($B44,[10]Complaints!$A$4:$AJ$39,30,)</f>
        <v>0</v>
      </c>
      <c r="N77" s="67">
        <f>VLOOKUP($B44,[11]Complaints!$A$4:$AJ$39,30,)</f>
        <v>0</v>
      </c>
      <c r="O77" s="68">
        <f>VLOOKUP($B44,[12]Complaints!$A$4:$AJ$39,30,)</f>
        <v>0</v>
      </c>
      <c r="P77" s="69">
        <f t="shared" si="18"/>
        <v>0</v>
      </c>
      <c r="Q77" s="70" t="str">
        <f>IF(P77=0,"",P77/$P52)</f>
        <v/>
      </c>
      <c r="R77" s="18"/>
    </row>
    <row r="78" spans="1:19" ht="15.75" customHeight="1" x14ac:dyDescent="0.2">
      <c r="B78" s="146"/>
      <c r="C78" s="40" t="s">
        <v>119</v>
      </c>
      <c r="D78" s="74">
        <f>VLOOKUP($B44,[1]Complaints!$A$4:$AJ$39,31,)</f>
        <v>0</v>
      </c>
      <c r="E78" s="75">
        <f>VLOOKUP($B44,[2]Complaints!$A$4:$AJ$39,31,)</f>
        <v>0</v>
      </c>
      <c r="F78" s="75">
        <f>VLOOKUP($B44,[3]Complaints!$A$4:$AJ$39,31,)</f>
        <v>0</v>
      </c>
      <c r="G78" s="75">
        <f>VLOOKUP($B44,[4]Complaints!$A$4:$AJ$39,31,)</f>
        <v>0</v>
      </c>
      <c r="H78" s="75">
        <f>VLOOKUP($B44,[5]Complaints!$A$4:$AJ$39,31,)</f>
        <v>0</v>
      </c>
      <c r="I78" s="75">
        <f>VLOOKUP($B44,[6]Complaints!$A$4:$AJ$39,31,)</f>
        <v>0</v>
      </c>
      <c r="J78" s="75">
        <f>VLOOKUP($B44,[7]Complaints!$A$4:$AJ$39,31,)</f>
        <v>0</v>
      </c>
      <c r="K78" s="75">
        <f>VLOOKUP($B44,[8]Complaints!$A$4:$AJ$39,31,)</f>
        <v>0</v>
      </c>
      <c r="L78" s="75">
        <f>VLOOKUP($B44,[9]Complaints!$A$4:$AJ$39,31,)</f>
        <v>0</v>
      </c>
      <c r="M78" s="75">
        <f>VLOOKUP($B44,[10]Complaints!$A$4:$AJ$39,31,)</f>
        <v>0</v>
      </c>
      <c r="N78" s="75">
        <f>VLOOKUP($B44,[11]Complaints!$A$4:$AJ$39,31,)</f>
        <v>0</v>
      </c>
      <c r="O78" s="76">
        <f>VLOOKUP($B44,[12]Complaints!$A$4:$AJ$39,31,)</f>
        <v>0</v>
      </c>
      <c r="P78" s="77">
        <f t="shared" si="18"/>
        <v>0</v>
      </c>
      <c r="Q78" s="50" t="str">
        <f>IF(P78=0,"",P78/$P52)</f>
        <v/>
      </c>
      <c r="R78" s="18"/>
    </row>
    <row r="79" spans="1:19" ht="15.75" customHeight="1" x14ac:dyDescent="0.2">
      <c r="B79" s="146"/>
      <c r="C79" s="38" t="s">
        <v>113</v>
      </c>
      <c r="D79" s="66">
        <f>VLOOKUP($B44,[1]Complaints!$A$4:$AJ$39,32,)</f>
        <v>0</v>
      </c>
      <c r="E79" s="67">
        <f>VLOOKUP($B44,[2]Complaints!$A$4:$AJ$39,32,)</f>
        <v>0</v>
      </c>
      <c r="F79" s="67">
        <f>VLOOKUP($B44,[3]Complaints!$A$4:$AJ$39,32,)</f>
        <v>0</v>
      </c>
      <c r="G79" s="67">
        <f>VLOOKUP($B44,[4]Complaints!$A$4:$AJ$39,32,)</f>
        <v>0</v>
      </c>
      <c r="H79" s="67">
        <f>VLOOKUP($B44,[5]Complaints!$A$4:$AJ$39,32,)</f>
        <v>0</v>
      </c>
      <c r="I79" s="67">
        <f>VLOOKUP($B44,[6]Complaints!$A$4:$AJ$39,32,)</f>
        <v>0</v>
      </c>
      <c r="J79" s="67">
        <f>VLOOKUP($B44,[7]Complaints!$A$4:$AJ$39,32,)</f>
        <v>0</v>
      </c>
      <c r="K79" s="67">
        <f>VLOOKUP($B44,[8]Complaints!$A$4:$AJ$39,32,)</f>
        <v>0</v>
      </c>
      <c r="L79" s="67">
        <f>VLOOKUP($B44,[9]Complaints!$A$4:$AJ$39,32,)</f>
        <v>0</v>
      </c>
      <c r="M79" s="67">
        <f>VLOOKUP($B44,[10]Complaints!$A$4:$AJ$39,32,)</f>
        <v>0</v>
      </c>
      <c r="N79" s="67">
        <f>VLOOKUP($B44,[11]Complaints!$A$4:$AJ$39,32,)</f>
        <v>0</v>
      </c>
      <c r="O79" s="68">
        <f>VLOOKUP($B44,[12]Complaints!$A$4:$AJ$39,32,)</f>
        <v>0</v>
      </c>
      <c r="P79" s="69">
        <f t="shared" si="18"/>
        <v>0</v>
      </c>
      <c r="Q79" s="70"/>
      <c r="R79" s="18"/>
    </row>
    <row r="80" spans="1:19" ht="15.75" customHeight="1" x14ac:dyDescent="0.2">
      <c r="B80" s="146"/>
      <c r="C80" s="38" t="s">
        <v>114</v>
      </c>
      <c r="D80" s="66">
        <f>VLOOKUP($B44,[1]Complaints!$A$4:$AJ$39,33,)</f>
        <v>0</v>
      </c>
      <c r="E80" s="67">
        <f>VLOOKUP($B44,[2]Complaints!$A$4:$AJ$39,33,)</f>
        <v>0</v>
      </c>
      <c r="F80" s="67">
        <f>VLOOKUP($B44,[3]Complaints!$A$4:$AJ$39,33,)</f>
        <v>0</v>
      </c>
      <c r="G80" s="67">
        <f>VLOOKUP($B44,[4]Complaints!$A$4:$AJ$39,33,)</f>
        <v>0</v>
      </c>
      <c r="H80" s="67">
        <f>VLOOKUP($B44,[5]Complaints!$A$4:$AJ$39,33,)</f>
        <v>0</v>
      </c>
      <c r="I80" s="67">
        <f>VLOOKUP($B44,[6]Complaints!$A$4:$AJ$39,33,)</f>
        <v>0</v>
      </c>
      <c r="J80" s="67">
        <f>VLOOKUP($B44,[7]Complaints!$A$4:$AJ$39,33,)</f>
        <v>0</v>
      </c>
      <c r="K80" s="67">
        <f>VLOOKUP($B44,[8]Complaints!$A$4:$AJ$39,33,)</f>
        <v>0</v>
      </c>
      <c r="L80" s="67">
        <f>VLOOKUP($B44,[9]Complaints!$A$4:$AJ$39,33,)</f>
        <v>0</v>
      </c>
      <c r="M80" s="67">
        <f>VLOOKUP($B44,[10]Complaints!$A$4:$AJ$39,33,)</f>
        <v>0</v>
      </c>
      <c r="N80" s="67">
        <f>VLOOKUP($B44,[11]Complaints!$A$4:$AJ$39,33,)</f>
        <v>0</v>
      </c>
      <c r="O80" s="68">
        <f>VLOOKUP($B44,[12]Complaints!$A$4:$AJ$39,33,)</f>
        <v>0</v>
      </c>
      <c r="P80" s="69">
        <f t="shared" si="18"/>
        <v>0</v>
      </c>
      <c r="Q80" s="70"/>
      <c r="R80" s="18"/>
    </row>
    <row r="81" spans="2:18" ht="15.75" customHeight="1" x14ac:dyDescent="0.2">
      <c r="B81" s="146"/>
      <c r="C81" s="38" t="s">
        <v>115</v>
      </c>
      <c r="D81" s="66">
        <f>VLOOKUP($B44,[1]Complaints!$A$4:$AJ$39,34,)</f>
        <v>0</v>
      </c>
      <c r="E81" s="67">
        <f>VLOOKUP($B44,[2]Complaints!$A$4:$AJ$39,34,)</f>
        <v>0</v>
      </c>
      <c r="F81" s="67">
        <f>VLOOKUP($B44,[3]Complaints!$A$4:$AJ$39,34,)</f>
        <v>0</v>
      </c>
      <c r="G81" s="67">
        <f>VLOOKUP($B44,[4]Complaints!$A$4:$AJ$39,34,)</f>
        <v>0</v>
      </c>
      <c r="H81" s="67">
        <f>VLOOKUP($B44,[5]Complaints!$A$4:$AJ$39,34,)</f>
        <v>0</v>
      </c>
      <c r="I81" s="67">
        <f>VLOOKUP($B44,[6]Complaints!$A$4:$AJ$39,34,)</f>
        <v>0</v>
      </c>
      <c r="J81" s="67">
        <f>VLOOKUP($B44,[7]Complaints!$A$4:$AJ$39,34,)</f>
        <v>0</v>
      </c>
      <c r="K81" s="67">
        <f>VLOOKUP($B44,[8]Complaints!$A$4:$AJ$39,34,)</f>
        <v>0</v>
      </c>
      <c r="L81" s="67">
        <f>VLOOKUP($B44,[9]Complaints!$A$4:$AJ$39,34,)</f>
        <v>0</v>
      </c>
      <c r="M81" s="67">
        <f>VLOOKUP($B44,[10]Complaints!$A$4:$AJ$39,34,)</f>
        <v>0</v>
      </c>
      <c r="N81" s="67">
        <f>VLOOKUP($B44,[11]Complaints!$A$4:$AJ$39,34,)</f>
        <v>0</v>
      </c>
      <c r="O81" s="68">
        <f>VLOOKUP($B44,[12]Complaints!$A$4:$AJ$39,34,)</f>
        <v>0</v>
      </c>
      <c r="P81" s="69">
        <f t="shared" si="18"/>
        <v>0</v>
      </c>
      <c r="Q81" s="70"/>
      <c r="R81" s="18"/>
    </row>
    <row r="82" spans="2:18" ht="15.75" customHeight="1" x14ac:dyDescent="0.2">
      <c r="B82" s="146"/>
      <c r="C82" s="38" t="s">
        <v>116</v>
      </c>
      <c r="D82" s="66">
        <f>VLOOKUP($B44,[1]Complaints!$A$4:$AJ$39,35,)</f>
        <v>0</v>
      </c>
      <c r="E82" s="67">
        <f>VLOOKUP($B44,[2]Complaints!$A$4:$AJ$39,35,)</f>
        <v>0</v>
      </c>
      <c r="F82" s="67">
        <f>VLOOKUP($B44,[3]Complaints!$A$4:$AJ$39,35,)</f>
        <v>0</v>
      </c>
      <c r="G82" s="67">
        <f>VLOOKUP($B44,[4]Complaints!$A$4:$AJ$39,35,)</f>
        <v>0</v>
      </c>
      <c r="H82" s="67">
        <f>VLOOKUP($B44,[5]Complaints!$A$4:$AJ$39,35,)</f>
        <v>0</v>
      </c>
      <c r="I82" s="67">
        <f>VLOOKUP($B44,[6]Complaints!$A$4:$AJ$39,35,)</f>
        <v>0</v>
      </c>
      <c r="J82" s="67">
        <f>VLOOKUP($B44,[7]Complaints!$A$4:$AJ$39,35,)</f>
        <v>0</v>
      </c>
      <c r="K82" s="67">
        <f>VLOOKUP($B44,[8]Complaints!$A$4:$AJ$39,35,)</f>
        <v>0</v>
      </c>
      <c r="L82" s="67">
        <f>VLOOKUP($B44,[9]Complaints!$A$4:$AJ$39,35,)</f>
        <v>0</v>
      </c>
      <c r="M82" s="67">
        <f>VLOOKUP($B44,[10]Complaints!$A$4:$AJ$39,35,)</f>
        <v>0</v>
      </c>
      <c r="N82" s="67">
        <f>VLOOKUP($B44,[11]Complaints!$A$4:$AJ$39,35,)</f>
        <v>0</v>
      </c>
      <c r="O82" s="68">
        <f>VLOOKUP($B44,[12]Complaints!$A$4:$AJ$39,35,)</f>
        <v>0</v>
      </c>
      <c r="P82" s="69">
        <f t="shared" si="18"/>
        <v>0</v>
      </c>
      <c r="Q82" s="70"/>
      <c r="R82" s="18"/>
    </row>
    <row r="83" spans="2:18" ht="15.75" customHeight="1" thickBot="1" x14ac:dyDescent="0.25">
      <c r="B83" s="147"/>
      <c r="C83" s="41" t="s">
        <v>117</v>
      </c>
      <c r="D83" s="78">
        <f>VLOOKUP($B44,[1]Complaints!$A$4:$AJ$39,36,)</f>
        <v>0</v>
      </c>
      <c r="E83" s="79">
        <f>VLOOKUP($B44,[2]Complaints!$A$4:$AJ$39,36,)</f>
        <v>0</v>
      </c>
      <c r="F83" s="79">
        <f>VLOOKUP($B44,[3]Complaints!$A$4:$AJ$39,36,)</f>
        <v>0</v>
      </c>
      <c r="G83" s="79">
        <f>VLOOKUP($B44,[4]Complaints!$A$4:$AJ$39,36,)</f>
        <v>0</v>
      </c>
      <c r="H83" s="79">
        <f>VLOOKUP($B44,[5]Complaints!$A$4:$AJ$39,36,)</f>
        <v>0</v>
      </c>
      <c r="I83" s="79">
        <f>VLOOKUP($B44,[6]Complaints!$A$4:$AJ$39,36,)</f>
        <v>0</v>
      </c>
      <c r="J83" s="79">
        <f>VLOOKUP($B44,[7]Complaints!$A$4:$AJ$39,36,)</f>
        <v>0</v>
      </c>
      <c r="K83" s="79">
        <f>VLOOKUP($B44,[8]Complaints!$A$4:$AJ$39,36,)</f>
        <v>0</v>
      </c>
      <c r="L83" s="79">
        <f>VLOOKUP($B44,[9]Complaints!$A$4:$AJ$39,36,)</f>
        <v>0</v>
      </c>
      <c r="M83" s="79">
        <f>VLOOKUP($B44,[10]Complaints!$A$4:$AJ$39,36,)</f>
        <v>0</v>
      </c>
      <c r="N83" s="79">
        <f>VLOOKUP($B44,[11]Complaints!$A$4:$AJ$39,36,)</f>
        <v>0</v>
      </c>
      <c r="O83" s="80">
        <f>VLOOKUP($B44,[12]Complaints!$A$4:$AJ$39,36,)</f>
        <v>0</v>
      </c>
      <c r="P83" s="81">
        <f t="shared" si="18"/>
        <v>0</v>
      </c>
      <c r="Q83" s="82"/>
      <c r="R83" s="18"/>
    </row>
    <row r="84" spans="2:18" ht="15.75" customHeight="1" thickBot="1" x14ac:dyDescent="0.25">
      <c r="R84" s="18"/>
    </row>
    <row r="85" spans="2:18" ht="15.75" customHeight="1" x14ac:dyDescent="0.25">
      <c r="B85" s="158" t="s">
        <v>14</v>
      </c>
      <c r="C85" s="159"/>
      <c r="D85" s="32" t="s">
        <v>0</v>
      </c>
      <c r="E85" s="20" t="s">
        <v>1</v>
      </c>
      <c r="F85" s="20" t="s">
        <v>2</v>
      </c>
      <c r="G85" s="20" t="s">
        <v>3</v>
      </c>
      <c r="H85" s="20" t="s">
        <v>4</v>
      </c>
      <c r="I85" s="20" t="s">
        <v>5</v>
      </c>
      <c r="J85" s="20" t="s">
        <v>6</v>
      </c>
      <c r="K85" s="20" t="s">
        <v>7</v>
      </c>
      <c r="L85" s="20" t="s">
        <v>8</v>
      </c>
      <c r="M85" s="20" t="s">
        <v>9</v>
      </c>
      <c r="N85" s="20" t="s">
        <v>10</v>
      </c>
      <c r="O85" s="33" t="s">
        <v>11</v>
      </c>
      <c r="P85" s="35" t="s">
        <v>12</v>
      </c>
      <c r="Q85" s="160" t="s">
        <v>104</v>
      </c>
      <c r="R85" s="18"/>
    </row>
    <row r="86" spans="2:18" ht="15.75" customHeight="1" thickBot="1" x14ac:dyDescent="0.3">
      <c r="B86" s="162" t="s">
        <v>73</v>
      </c>
      <c r="C86" s="163"/>
      <c r="D86" s="34">
        <v>2020</v>
      </c>
      <c r="E86" s="34">
        <v>2020</v>
      </c>
      <c r="F86" s="34">
        <v>2020</v>
      </c>
      <c r="G86" s="34">
        <v>2020</v>
      </c>
      <c r="H86" s="34">
        <v>2020</v>
      </c>
      <c r="I86" s="34">
        <v>2020</v>
      </c>
      <c r="J86" s="34">
        <v>2020</v>
      </c>
      <c r="K86" s="34">
        <v>2020</v>
      </c>
      <c r="L86" s="34">
        <v>2020</v>
      </c>
      <c r="M86" s="25">
        <v>2021</v>
      </c>
      <c r="N86" s="25">
        <v>2021</v>
      </c>
      <c r="O86" s="25">
        <v>2021</v>
      </c>
      <c r="P86" s="36" t="s">
        <v>122</v>
      </c>
      <c r="Q86" s="161"/>
      <c r="R86" s="18"/>
    </row>
    <row r="87" spans="2:18" ht="12.75" customHeight="1" thickBot="1" x14ac:dyDescent="0.25">
      <c r="B87" s="164" t="s">
        <v>38</v>
      </c>
      <c r="C87" s="165"/>
      <c r="D87" s="42">
        <f>VLOOKUP($B86,[1]Complaints!$A$4:$AJ$39,2,)</f>
        <v>66</v>
      </c>
      <c r="E87" s="43">
        <f>VLOOKUP($B86,[2]Complaints!$A$4:$AJ$39,2,)</f>
        <v>100</v>
      </c>
      <c r="F87" s="43">
        <f>VLOOKUP($B86,[3]Complaints!$A$4:$AJ$39,2)</f>
        <v>165</v>
      </c>
      <c r="G87" s="43">
        <f>VLOOKUP($B86,[4]Complaints!$A$4:$AJ$39,2)</f>
        <v>329</v>
      </c>
      <c r="H87" s="43">
        <f>VLOOKUP($B86,[5]Complaints!$A$4:$AJ$39,2)</f>
        <v>459</v>
      </c>
      <c r="I87" s="43">
        <f>VLOOKUP($B86,[6]Complaints!$A$4:$AJ$39,2)</f>
        <v>519</v>
      </c>
      <c r="J87" s="43">
        <f>VLOOKUP($B86,[7]Complaints!$A$4:$AJ$39,2)</f>
        <v>435</v>
      </c>
      <c r="K87" s="43">
        <f>VLOOKUP($B86,[8]Complaints!$A$4:$AJ$39,2)</f>
        <v>435</v>
      </c>
      <c r="L87" s="43">
        <f>VLOOKUP($B86,[9]Complaints!$A$4:$AJ$39,2)</f>
        <v>378</v>
      </c>
      <c r="M87" s="43">
        <f>VLOOKUP($B86,[10]Complaints!$A$4:$AJ$39,2)</f>
        <v>224</v>
      </c>
      <c r="N87" s="43">
        <f>VLOOKUP($B86,[11]Complaints!$A$4:$AJ$39,2)</f>
        <v>0</v>
      </c>
      <c r="O87" s="44">
        <f>VLOOKUP($B86,[12]Complaints!$A$4:$AJ$39,2)</f>
        <v>0</v>
      </c>
      <c r="P87" s="45">
        <f>SUM(D87:O87)</f>
        <v>3110</v>
      </c>
      <c r="Q87" s="46"/>
      <c r="R87" s="18"/>
    </row>
    <row r="88" spans="2:18" ht="15.75" customHeight="1" x14ac:dyDescent="0.2">
      <c r="B88" s="166" t="s">
        <v>94</v>
      </c>
      <c r="C88" s="167"/>
      <c r="D88" s="47">
        <f>VLOOKUP($B86,[1]Complaints!$A$4:$AF$39,3,)</f>
        <v>0</v>
      </c>
      <c r="E88" s="48">
        <f>VLOOKUP($B86,[2]Complaints!$A$4:$AF$39,3,)</f>
        <v>0</v>
      </c>
      <c r="F88" s="48">
        <f>VLOOKUP($B86,[3]Complaints!$A$4:$AG$39,3,)</f>
        <v>1</v>
      </c>
      <c r="G88" s="48">
        <f>VLOOKUP($B86,[4]Complaints!$A$4:$AG$39,3,)</f>
        <v>0</v>
      </c>
      <c r="H88" s="48">
        <f>VLOOKUP($B86,[5]Complaints!$A$4:$AG$39,3,)</f>
        <v>0</v>
      </c>
      <c r="I88" s="48">
        <f>VLOOKUP($B86,[6]Complaints!$A$4:$AG$39,3,)</f>
        <v>0</v>
      </c>
      <c r="J88" s="48">
        <f>VLOOKUP($B86,[7]Complaints!$A$4:$AG$39,3,)</f>
        <v>0</v>
      </c>
      <c r="K88" s="48">
        <f>VLOOKUP($B86,[8]Complaints!$A$4:$AG$39,3,)</f>
        <v>0</v>
      </c>
      <c r="L88" s="48">
        <f>VLOOKUP($B86,[9]Complaints!$A$4:$AG$39,3,)</f>
        <v>0</v>
      </c>
      <c r="M88" s="48">
        <f>VLOOKUP($B86,[10]Complaints!$A$4:$AG$39,3,)</f>
        <v>0</v>
      </c>
      <c r="N88" s="48">
        <f>VLOOKUP($B86,[11]Complaints!$A$4:$AG$39,3,)</f>
        <v>0</v>
      </c>
      <c r="O88" s="49">
        <f>VLOOKUP($B86,[12]Complaints!$A$4:$AG$39,3,)</f>
        <v>0</v>
      </c>
      <c r="P88" s="45">
        <f>SUM(D88:O88)</f>
        <v>1</v>
      </c>
      <c r="Q88" s="50"/>
      <c r="R88" s="18"/>
    </row>
    <row r="89" spans="2:18" ht="15.75" customHeight="1" x14ac:dyDescent="0.2">
      <c r="B89" s="26"/>
      <c r="C89" s="28" t="s">
        <v>102</v>
      </c>
      <c r="D89" s="51">
        <f>IF(D87=0,"",D88/D87)</f>
        <v>0</v>
      </c>
      <c r="E89" s="52">
        <f t="shared" ref="E89:O89" si="19">IF(E87=0,"",E88/E87)</f>
        <v>0</v>
      </c>
      <c r="F89" s="52">
        <f t="shared" si="19"/>
        <v>6.0606060606060606E-3</v>
      </c>
      <c r="G89" s="52">
        <f t="shared" si="19"/>
        <v>0</v>
      </c>
      <c r="H89" s="52">
        <f t="shared" si="19"/>
        <v>0</v>
      </c>
      <c r="I89" s="52">
        <f t="shared" si="19"/>
        <v>0</v>
      </c>
      <c r="J89" s="52">
        <f t="shared" si="19"/>
        <v>0</v>
      </c>
      <c r="K89" s="52">
        <f t="shared" si="19"/>
        <v>0</v>
      </c>
      <c r="L89" s="52">
        <f t="shared" si="19"/>
        <v>0</v>
      </c>
      <c r="M89" s="52">
        <f t="shared" si="19"/>
        <v>0</v>
      </c>
      <c r="N89" s="52" t="str">
        <f t="shared" si="19"/>
        <v/>
      </c>
      <c r="O89" s="53" t="str">
        <f t="shared" si="19"/>
        <v/>
      </c>
      <c r="P89" s="54">
        <f>IF(P88="","",P88/P87)</f>
        <v>3.2154340836012862E-4</v>
      </c>
      <c r="Q89" s="50"/>
      <c r="R89" s="18"/>
    </row>
    <row r="90" spans="2:18" s="21" customFormat="1" ht="15.75" customHeight="1" x14ac:dyDescent="0.2">
      <c r="B90" s="155" t="s">
        <v>95</v>
      </c>
      <c r="C90" s="156"/>
      <c r="D90" s="47">
        <f>VLOOKUP($B86,[1]Complaints!$A$4:$AF$39,4,)</f>
        <v>0</v>
      </c>
      <c r="E90" s="48">
        <f>VLOOKUP($B86,[2]Complaints!$A$4:$AF$39,4,)</f>
        <v>0</v>
      </c>
      <c r="F90" s="48">
        <f>VLOOKUP($B86,[3]Complaints!$A$4:$AG$39,4,)</f>
        <v>1</v>
      </c>
      <c r="G90" s="48">
        <f>VLOOKUP($B86,[4]Complaints!$A$4:$AG$39,4,)</f>
        <v>0</v>
      </c>
      <c r="H90" s="48">
        <f>VLOOKUP($B86,[5]Complaints!$A$4:$AG$39,4,)</f>
        <v>0</v>
      </c>
      <c r="I90" s="48">
        <f>VLOOKUP($B86,[6]Complaints!$A$4:$AG$39,4,)</f>
        <v>0</v>
      </c>
      <c r="J90" s="48">
        <f>VLOOKUP($B86,[7]Complaints!$A$4:$AG$39,4,)</f>
        <v>0</v>
      </c>
      <c r="K90" s="48">
        <f>VLOOKUP($B86,[8]Complaints!$A$4:$AG$39,4,)</f>
        <v>0</v>
      </c>
      <c r="L90" s="48">
        <f>VLOOKUP($B86,[9]Complaints!$A$4:$AG$39,4,)</f>
        <v>0</v>
      </c>
      <c r="M90" s="48">
        <f>VLOOKUP($B86,[10]Complaints!$A$4:$AG$39,4,)</f>
        <v>0</v>
      </c>
      <c r="N90" s="48">
        <f>VLOOKUP($B86,[11]Complaints!$A$4:$AG$39,4,)</f>
        <v>0</v>
      </c>
      <c r="O90" s="49">
        <f>VLOOKUP($B86,[12]Complaints!$A$4:$AG$39,4,)</f>
        <v>0</v>
      </c>
      <c r="P90" s="55">
        <f t="shared" ref="P90" si="20">SUM(D90:O90)</f>
        <v>1</v>
      </c>
      <c r="Q90" s="50"/>
    </row>
    <row r="91" spans="2:18" ht="15.75" customHeight="1" x14ac:dyDescent="0.2">
      <c r="B91" s="26"/>
      <c r="C91" s="28" t="s">
        <v>98</v>
      </c>
      <c r="D91" s="51">
        <f>IF(D87=0,"",D90/D87)</f>
        <v>0</v>
      </c>
      <c r="E91" s="52">
        <f t="shared" ref="E91:O91" si="21">IF(E87=0,"",E90/E87)</f>
        <v>0</v>
      </c>
      <c r="F91" s="52">
        <f t="shared" si="21"/>
        <v>6.0606060606060606E-3</v>
      </c>
      <c r="G91" s="52">
        <f t="shared" si="21"/>
        <v>0</v>
      </c>
      <c r="H91" s="52">
        <f t="shared" si="21"/>
        <v>0</v>
      </c>
      <c r="I91" s="52">
        <f t="shared" si="21"/>
        <v>0</v>
      </c>
      <c r="J91" s="52">
        <f t="shared" si="21"/>
        <v>0</v>
      </c>
      <c r="K91" s="52">
        <f t="shared" si="21"/>
        <v>0</v>
      </c>
      <c r="L91" s="52">
        <f t="shared" si="21"/>
        <v>0</v>
      </c>
      <c r="M91" s="52">
        <f t="shared" si="21"/>
        <v>0</v>
      </c>
      <c r="N91" s="52" t="str">
        <f t="shared" si="21"/>
        <v/>
      </c>
      <c r="O91" s="53" t="str">
        <f t="shared" si="21"/>
        <v/>
      </c>
      <c r="P91" s="54">
        <f>IF(P90="","",P90/P87)</f>
        <v>3.2154340836012862E-4</v>
      </c>
      <c r="Q91" s="50"/>
      <c r="R91" s="18"/>
    </row>
    <row r="92" spans="2:18" ht="15.75" customHeight="1" x14ac:dyDescent="0.2">
      <c r="B92" s="155" t="s">
        <v>96</v>
      </c>
      <c r="C92" s="156"/>
      <c r="D92" s="47">
        <f>VLOOKUP($B86,[1]Complaints!$A$4:$AF$39,5,)</f>
        <v>0</v>
      </c>
      <c r="E92" s="48">
        <f>VLOOKUP($B86,[2]Complaints!$A$4:$AF$39,5,)</f>
        <v>0</v>
      </c>
      <c r="F92" s="48">
        <f>VLOOKUP($B86,[3]Complaints!$A$4:$AG$39,5,)</f>
        <v>0</v>
      </c>
      <c r="G92" s="48">
        <f>VLOOKUP($B86,[4]Complaints!$A$4:$AG$39,5,)</f>
        <v>0</v>
      </c>
      <c r="H92" s="48">
        <f>VLOOKUP($B86,[5]Complaints!$A$4:$AG$39,5,)</f>
        <v>0</v>
      </c>
      <c r="I92" s="48">
        <f>VLOOKUP($B86,[6]Complaints!$A$4:$AG$39,5,)</f>
        <v>0</v>
      </c>
      <c r="J92" s="48">
        <f>VLOOKUP($B86,[7]Complaints!$A$4:$AG$39,5,)</f>
        <v>0</v>
      </c>
      <c r="K92" s="48">
        <f>VLOOKUP($B86,[8]Complaints!$A$4:$AG$39,5,)</f>
        <v>0</v>
      </c>
      <c r="L92" s="48">
        <f>VLOOKUP($B86,[9]Complaints!$A$4:$AG$39,5,)</f>
        <v>0</v>
      </c>
      <c r="M92" s="48">
        <f>VLOOKUP($B86,[10]Complaints!$A$4:$AG$39,5,)</f>
        <v>0</v>
      </c>
      <c r="N92" s="48">
        <f>VLOOKUP($B86,[11]Complaints!$A$4:$AG$39,5,)</f>
        <v>0</v>
      </c>
      <c r="O92" s="49">
        <f>VLOOKUP($B86,[12]Complaints!$A$4:$AG$39,5,)</f>
        <v>0</v>
      </c>
      <c r="P92" s="55">
        <f t="shared" ref="P92" si="22">SUM(D92:O92)</f>
        <v>0</v>
      </c>
      <c r="Q92" s="50"/>
      <c r="R92" s="18"/>
    </row>
    <row r="93" spans="2:18" ht="15.75" customHeight="1" x14ac:dyDescent="0.2">
      <c r="B93" s="26"/>
      <c r="C93" s="28" t="s">
        <v>99</v>
      </c>
      <c r="D93" s="51">
        <f>IF(D87=0,"",D92/D87)</f>
        <v>0</v>
      </c>
      <c r="E93" s="52">
        <f t="shared" ref="E93:O93" si="23">IF(E87=0,"",E92/E87)</f>
        <v>0</v>
      </c>
      <c r="F93" s="52">
        <f t="shared" si="23"/>
        <v>0</v>
      </c>
      <c r="G93" s="52">
        <f t="shared" si="23"/>
        <v>0</v>
      </c>
      <c r="H93" s="52">
        <f t="shared" si="23"/>
        <v>0</v>
      </c>
      <c r="I93" s="52">
        <f t="shared" si="23"/>
        <v>0</v>
      </c>
      <c r="J93" s="52">
        <f t="shared" si="23"/>
        <v>0</v>
      </c>
      <c r="K93" s="52">
        <f t="shared" si="23"/>
        <v>0</v>
      </c>
      <c r="L93" s="52">
        <f t="shared" si="23"/>
        <v>0</v>
      </c>
      <c r="M93" s="52">
        <f t="shared" si="23"/>
        <v>0</v>
      </c>
      <c r="N93" s="52" t="str">
        <f t="shared" si="23"/>
        <v/>
      </c>
      <c r="O93" s="53" t="str">
        <f t="shared" si="23"/>
        <v/>
      </c>
      <c r="P93" s="54">
        <f>IF(P92="","",P92/P87)</f>
        <v>0</v>
      </c>
      <c r="Q93" s="50"/>
      <c r="R93" s="18"/>
    </row>
    <row r="94" spans="2:18" ht="15.75" customHeight="1" x14ac:dyDescent="0.2">
      <c r="B94" s="157" t="s">
        <v>97</v>
      </c>
      <c r="C94" s="156"/>
      <c r="D94" s="47">
        <f>VLOOKUP($B86,[1]Complaints!$A$4:$AF$39,6,)</f>
        <v>0</v>
      </c>
      <c r="E94" s="48">
        <f>VLOOKUP($B86,[2]Complaints!$A$4:$AF$39,6,)</f>
        <v>0</v>
      </c>
      <c r="F94" s="48">
        <f>VLOOKUP($B86,[3]Complaints!$A$4:$AG$39,6,)</f>
        <v>1</v>
      </c>
      <c r="G94" s="48">
        <f>VLOOKUP($B86,[4]Complaints!$A$4:$AG$39,6,)</f>
        <v>0</v>
      </c>
      <c r="H94" s="48">
        <f>VLOOKUP($B86,[5]Complaints!$A$4:$AG$39,6,)</f>
        <v>0</v>
      </c>
      <c r="I94" s="48">
        <f>VLOOKUP($B86,[6]Complaints!$A$4:$AG$39,6,)</f>
        <v>0</v>
      </c>
      <c r="J94" s="48">
        <f>VLOOKUP($B86,[7]Complaints!$A$4:$AG$39,6,)</f>
        <v>0</v>
      </c>
      <c r="K94" s="48">
        <f>VLOOKUP($B86,[8]Complaints!$A$4:$AG$39,6,)</f>
        <v>0</v>
      </c>
      <c r="L94" s="48">
        <f>VLOOKUP($B86,[9]Complaints!$A$4:$AG$39,6,)</f>
        <v>0</v>
      </c>
      <c r="M94" s="48">
        <f>VLOOKUP($B86,[10]Complaints!$A$4:$AG$39,6,)</f>
        <v>0</v>
      </c>
      <c r="N94" s="48">
        <f>VLOOKUP($B86,[11]Complaints!$A$4:$AG$39,6,)</f>
        <v>0</v>
      </c>
      <c r="O94" s="49">
        <f>VLOOKUP($B86,[12]Complaints!$A$4:$AG$39,6,)</f>
        <v>0</v>
      </c>
      <c r="P94" s="55">
        <f t="shared" ref="P94" si="24">SUM(D94:O94)</f>
        <v>1</v>
      </c>
      <c r="Q94" s="50"/>
      <c r="R94" s="18"/>
    </row>
    <row r="95" spans="2:18" ht="15.75" customHeight="1" thickBot="1" x14ac:dyDescent="0.25">
      <c r="B95" s="27"/>
      <c r="C95" s="29" t="s">
        <v>100</v>
      </c>
      <c r="D95" s="56" t="str">
        <f>IF(D94=0,"",D94/D92)</f>
        <v/>
      </c>
      <c r="E95" s="57" t="str">
        <f t="shared" ref="E95:H95" si="25">IF(E94=0,"",E94/E92)</f>
        <v/>
      </c>
      <c r="F95" s="57" t="e">
        <f t="shared" si="25"/>
        <v>#DIV/0!</v>
      </c>
      <c r="G95" s="57" t="str">
        <f t="shared" si="25"/>
        <v/>
      </c>
      <c r="H95" s="57" t="str">
        <f t="shared" si="25"/>
        <v/>
      </c>
      <c r="I95" s="57" t="str">
        <f>IF(I94=0,"",I94/I92)</f>
        <v/>
      </c>
      <c r="J95" s="57" t="str">
        <f t="shared" ref="J95:O95" si="26">IF(J94=0,"",J94/J92)</f>
        <v/>
      </c>
      <c r="K95" s="57" t="str">
        <f t="shared" si="26"/>
        <v/>
      </c>
      <c r="L95" s="57" t="str">
        <f t="shared" si="26"/>
        <v/>
      </c>
      <c r="M95" s="57" t="str">
        <f t="shared" si="26"/>
        <v/>
      </c>
      <c r="N95" s="57" t="str">
        <f t="shared" si="26"/>
        <v/>
      </c>
      <c r="O95" s="58" t="str">
        <f t="shared" si="26"/>
        <v/>
      </c>
      <c r="P95" s="59" t="e">
        <f>IF(P94=0,"",P94/P92)</f>
        <v>#DIV/0!</v>
      </c>
      <c r="Q95" s="60"/>
      <c r="R95" s="18"/>
    </row>
    <row r="96" spans="2:18" ht="15.75" customHeight="1" x14ac:dyDescent="0.2">
      <c r="B96" s="168" t="s">
        <v>103</v>
      </c>
      <c r="C96" s="30" t="s">
        <v>77</v>
      </c>
      <c r="D96" s="61">
        <f>VLOOKUP($B86,[1]Complaints!$A$4:$AJ$39,7,)</f>
        <v>0</v>
      </c>
      <c r="E96" s="43">
        <f>VLOOKUP($B86,[2]Complaints!$A$4:$AJ$39,7,)</f>
        <v>0</v>
      </c>
      <c r="F96" s="43">
        <f>VLOOKUP($B86,[3]Complaints!$A$4:$AJ$39,7,)</f>
        <v>1</v>
      </c>
      <c r="G96" s="43">
        <f>VLOOKUP($B86,[4]Complaints!$A$4:$AJ$39,7,)</f>
        <v>0</v>
      </c>
      <c r="H96" s="43">
        <f>VLOOKUP($B86,[5]Complaints!$A$4:$AJ$39,7,)</f>
        <v>0</v>
      </c>
      <c r="I96" s="43">
        <f>VLOOKUP($B86,[6]Complaints!$A$4:$AJ$39,7,)</f>
        <v>0</v>
      </c>
      <c r="J96" s="43">
        <f>VLOOKUP($B86,[7]Complaints!$A$4:$AJ$39,7,)</f>
        <v>0</v>
      </c>
      <c r="K96" s="43">
        <f>VLOOKUP($B86,[8]Complaints!$A$4:$AJ$39,7,)</f>
        <v>0</v>
      </c>
      <c r="L96" s="43">
        <f>VLOOKUP($B86,[9]Complaints!$A$4:$AJ$39,7,)</f>
        <v>0</v>
      </c>
      <c r="M96" s="43">
        <f>VLOOKUP($B86,[10]Complaints!$A$4:$AJ$39,7,)</f>
        <v>0</v>
      </c>
      <c r="N96" s="43">
        <f>VLOOKUP($B86,[11]Complaints!$A$4:$AJ$39,7,)</f>
        <v>0</v>
      </c>
      <c r="O96" s="44">
        <f>VLOOKUP($B86,[12]Complaints!$A$4:$AJ$39,7,)</f>
        <v>0</v>
      </c>
      <c r="P96" s="45">
        <f>SUM(D96:O96)</f>
        <v>1</v>
      </c>
      <c r="Q96" s="46">
        <f>IF(P96=0,"",P96/$P88)</f>
        <v>1</v>
      </c>
      <c r="R96" s="18"/>
    </row>
    <row r="97" spans="2:18" ht="15.75" customHeight="1" x14ac:dyDescent="0.2">
      <c r="B97" s="169"/>
      <c r="C97" s="31" t="s">
        <v>89</v>
      </c>
      <c r="D97" s="47">
        <f>VLOOKUP($B86,[1]Complaints!$A$4:$AJ$39,8,)</f>
        <v>0</v>
      </c>
      <c r="E97" s="48">
        <f>VLOOKUP($B86,[2]Complaints!$A$4:$AJ$39,8,)</f>
        <v>0</v>
      </c>
      <c r="F97" s="48">
        <f>VLOOKUP($B86,[3]Complaints!$A$4:$AJ$39,8,)</f>
        <v>0</v>
      </c>
      <c r="G97" s="48">
        <f>VLOOKUP($B86,[4]Complaints!$A$4:$AJ$39,8,)</f>
        <v>0</v>
      </c>
      <c r="H97" s="48">
        <f>VLOOKUP($B86,[5]Complaints!$A$4:$AJ$39,8,)</f>
        <v>0</v>
      </c>
      <c r="I97" s="48">
        <f>VLOOKUP($B86,[6]Complaints!$A$4:$AJ$39,8,)</f>
        <v>0</v>
      </c>
      <c r="J97" s="48">
        <f>VLOOKUP($B86,[7]Complaints!$A$4:$AJ$39,8,)</f>
        <v>0</v>
      </c>
      <c r="K97" s="48">
        <f>VLOOKUP($B86,[8]Complaints!$A$4:$AJ$39,8,)</f>
        <v>0</v>
      </c>
      <c r="L97" s="48">
        <f>VLOOKUP($B86,[9]Complaints!$A$4:$AJ$39,8,)</f>
        <v>0</v>
      </c>
      <c r="M97" s="48">
        <f>VLOOKUP($B86,[10]Complaints!$A$4:$AJ$39,8,)</f>
        <v>0</v>
      </c>
      <c r="N97" s="48">
        <f>VLOOKUP($B86,[11]Complaints!$A$4:$AJ$39,8,)</f>
        <v>0</v>
      </c>
      <c r="O97" s="49">
        <f>VLOOKUP($B86,[12]Complaints!$A$4:$AJ$39,8,)</f>
        <v>0</v>
      </c>
      <c r="P97" s="55">
        <f t="shared" ref="P97:P98" si="27">SUM(D97:O97)</f>
        <v>0</v>
      </c>
      <c r="Q97" s="50">
        <f>IF(P97="","",P97/$P88)</f>
        <v>0</v>
      </c>
      <c r="R97" s="18"/>
    </row>
    <row r="98" spans="2:18" ht="15.75" customHeight="1" x14ac:dyDescent="0.2">
      <c r="B98" s="169"/>
      <c r="C98" s="31" t="s">
        <v>88</v>
      </c>
      <c r="D98" s="47">
        <f>VLOOKUP($B86,[1]Complaints!$A$4:$AJ$39,9,)</f>
        <v>0</v>
      </c>
      <c r="E98" s="48">
        <f>VLOOKUP($B86,[2]Complaints!$A$4:$AJ$39,9,)</f>
        <v>0</v>
      </c>
      <c r="F98" s="48">
        <f>VLOOKUP($B86,[3]Complaints!$A$4:$AJ$39,9,)</f>
        <v>0</v>
      </c>
      <c r="G98" s="48">
        <f>VLOOKUP($B86,[4]Complaints!$A$4:$AJ$39,9,)</f>
        <v>0</v>
      </c>
      <c r="H98" s="48">
        <f>VLOOKUP($B86,[5]Complaints!$A$4:$AJ$39,9,)</f>
        <v>0</v>
      </c>
      <c r="I98" s="48">
        <f>VLOOKUP($B86,[6]Complaints!$A$4:$AJ$39,9,)</f>
        <v>0</v>
      </c>
      <c r="J98" s="48">
        <f>VLOOKUP($B86,[7]Complaints!$A$4:$AJ$39,9,)</f>
        <v>0</v>
      </c>
      <c r="K98" s="48">
        <f>VLOOKUP($B86,[8]Complaints!$A$4:$AJ$39,9,)</f>
        <v>0</v>
      </c>
      <c r="L98" s="48">
        <f>VLOOKUP($B86,[9]Complaints!$A$4:$AJ$39,9,)</f>
        <v>0</v>
      </c>
      <c r="M98" s="48">
        <f>VLOOKUP($B86,[10]Complaints!$A$4:$AJ$39,9,)</f>
        <v>0</v>
      </c>
      <c r="N98" s="48">
        <f>VLOOKUP($B86,[11]Complaints!$A$4:$AJ$39,9,)</f>
        <v>0</v>
      </c>
      <c r="O98" s="49">
        <f>VLOOKUP($B86,[12]Complaints!$A$4:$AJ$39,9,)</f>
        <v>0</v>
      </c>
      <c r="P98" s="55">
        <f t="shared" si="27"/>
        <v>0</v>
      </c>
      <c r="Q98" s="50" t="str">
        <f>IF(P98=0,"",P98/$P88)</f>
        <v/>
      </c>
      <c r="R98" s="18"/>
    </row>
    <row r="99" spans="2:18" ht="15.75" customHeight="1" x14ac:dyDescent="0.2">
      <c r="B99" s="169"/>
      <c r="C99" s="31" t="s">
        <v>13</v>
      </c>
      <c r="D99" s="47">
        <f>VLOOKUP($B86,[1]Complaints!$A$4:$AJ$39,10,)</f>
        <v>0</v>
      </c>
      <c r="E99" s="48">
        <f>VLOOKUP($B86,[2]Complaints!$A$4:$AJ$39,10,)</f>
        <v>0</v>
      </c>
      <c r="F99" s="48">
        <f>VLOOKUP($B86,[3]Complaints!$A$4:$AJ$39,10,)</f>
        <v>0</v>
      </c>
      <c r="G99" s="48">
        <f>VLOOKUP($B86,[4]Complaints!$A$4:$AJ$39,10,)</f>
        <v>0</v>
      </c>
      <c r="H99" s="48">
        <f>VLOOKUP($B86,[5]Complaints!$A$4:$AJ$39,10,)</f>
        <v>0</v>
      </c>
      <c r="I99" s="48">
        <f>VLOOKUP($B86,[6]Complaints!$A$4:$AJ$39,10,)</f>
        <v>0</v>
      </c>
      <c r="J99" s="48">
        <f>VLOOKUP($B86,[7]Complaints!$A$4:$AJ$39,10,)</f>
        <v>0</v>
      </c>
      <c r="K99" s="48">
        <f>VLOOKUP($B86,[8]Complaints!$A$4:$AJ$39,10,)</f>
        <v>0</v>
      </c>
      <c r="L99" s="48">
        <f>VLOOKUP($B86,[9]Complaints!$A$4:$AJ$39,10,)</f>
        <v>0</v>
      </c>
      <c r="M99" s="48">
        <f>VLOOKUP($B86,[10]Complaints!$A$4:$AJ$39,10,)</f>
        <v>0</v>
      </c>
      <c r="N99" s="48">
        <f>VLOOKUP($B86,[11]Complaints!$A$4:$AJ$39,10,)</f>
        <v>0</v>
      </c>
      <c r="O99" s="49">
        <f>VLOOKUP($B86,[12]Complaints!$A$4:$AJ$39,10,)</f>
        <v>0</v>
      </c>
      <c r="P99" s="55">
        <f>SUM(D99:O99)</f>
        <v>0</v>
      </c>
      <c r="Q99" s="50" t="str">
        <f>IF(P99=0,"",P99/$P88)</f>
        <v/>
      </c>
      <c r="R99" s="18"/>
    </row>
    <row r="100" spans="2:18" ht="15.75" customHeight="1" x14ac:dyDescent="0.2">
      <c r="B100" s="169"/>
      <c r="C100" s="31" t="s">
        <v>101</v>
      </c>
      <c r="D100" s="47">
        <f>VLOOKUP($B86,[1]Complaints!$A$4:$AJ$39,11,)</f>
        <v>0</v>
      </c>
      <c r="E100" s="48">
        <f>VLOOKUP($B86,[2]Complaints!$A$4:$AJ$39,11,)</f>
        <v>0</v>
      </c>
      <c r="F100" s="48">
        <f>VLOOKUP($B86,[3]Complaints!$A$4:$AJ$39,11,)</f>
        <v>0</v>
      </c>
      <c r="G100" s="48">
        <f>VLOOKUP($B86,[4]Complaints!$A$4:$AJ$39,11,)</f>
        <v>0</v>
      </c>
      <c r="H100" s="48">
        <f>VLOOKUP($B86,[5]Complaints!$A$4:$AJ$39,11,)</f>
        <v>0</v>
      </c>
      <c r="I100" s="48">
        <f>VLOOKUP($B86,[6]Complaints!$A$4:$AJ$39,11,)</f>
        <v>0</v>
      </c>
      <c r="J100" s="48">
        <f>VLOOKUP($B86,[7]Complaints!$A$4:$AJ$39,11,)</f>
        <v>0</v>
      </c>
      <c r="K100" s="48">
        <f>VLOOKUP($B86,[8]Complaints!$A$4:$AJ$39,11,)</f>
        <v>0</v>
      </c>
      <c r="L100" s="48">
        <f>VLOOKUP($B86,[9]Complaints!$A$4:$AJ$39,11,)</f>
        <v>0</v>
      </c>
      <c r="M100" s="48">
        <f>VLOOKUP($B86,[10]Complaints!$A$4:$AJ$39,11,)</f>
        <v>0</v>
      </c>
      <c r="N100" s="48">
        <f>VLOOKUP($B86,[11]Complaints!$A$4:$AJ$39,11,)</f>
        <v>0</v>
      </c>
      <c r="O100" s="49">
        <f>VLOOKUP($B86,[12]Complaints!$A$4:$AJ$39,11,)</f>
        <v>0</v>
      </c>
      <c r="P100" s="55">
        <f t="shared" ref="P100:P109" si="28">SUM(D100:O100)</f>
        <v>0</v>
      </c>
      <c r="Q100" s="50" t="str">
        <f>IF(P100=0,"",P100/$P88)</f>
        <v/>
      </c>
      <c r="R100" s="18"/>
    </row>
    <row r="101" spans="2:18" s="19" customFormat="1" ht="15.75" customHeight="1" x14ac:dyDescent="0.2">
      <c r="B101" s="169"/>
      <c r="C101" s="31" t="s">
        <v>93</v>
      </c>
      <c r="D101" s="47">
        <f>VLOOKUP($B86,[1]Complaints!$A$4:$AJ$39,12,)</f>
        <v>0</v>
      </c>
      <c r="E101" s="48">
        <f>VLOOKUP($B86,[2]Complaints!$A$4:$AJ$39,12,)</f>
        <v>0</v>
      </c>
      <c r="F101" s="48">
        <f>VLOOKUP($B86,[3]Complaints!$A$4:$AJ$39,12,)</f>
        <v>0</v>
      </c>
      <c r="G101" s="48">
        <f>VLOOKUP($B86,[4]Complaints!$A$4:$AJ$39,12,)</f>
        <v>0</v>
      </c>
      <c r="H101" s="48">
        <f>VLOOKUP($B86,[5]Complaints!$A$4:$AJ$39,12,)</f>
        <v>0</v>
      </c>
      <c r="I101" s="48">
        <f>VLOOKUP($B86,[6]Complaints!$A$4:$AJ$39,12,)</f>
        <v>0</v>
      </c>
      <c r="J101" s="48">
        <f>VLOOKUP($B86,[7]Complaints!$A$4:$AJ$39,12,)</f>
        <v>0</v>
      </c>
      <c r="K101" s="48">
        <f>VLOOKUP($B86,[8]Complaints!$A$4:$AJ$39,12,)</f>
        <v>0</v>
      </c>
      <c r="L101" s="48">
        <f>VLOOKUP($B86,[9]Complaints!$A$4:$AJ$39,12,)</f>
        <v>0</v>
      </c>
      <c r="M101" s="48">
        <f>VLOOKUP($B86,[10]Complaints!$A$4:$AJ$39,12,)</f>
        <v>0</v>
      </c>
      <c r="N101" s="48">
        <f>VLOOKUP($B86,[11]Complaints!$A$4:$AJ$39,12,)</f>
        <v>0</v>
      </c>
      <c r="O101" s="49">
        <f>VLOOKUP($B86,[12]Complaints!$A$4:$AJ$39,12,)</f>
        <v>0</v>
      </c>
      <c r="P101" s="55">
        <f t="shared" si="28"/>
        <v>0</v>
      </c>
      <c r="Q101" s="50" t="str">
        <f>IF(P101=0,"",P101/$P88)</f>
        <v/>
      </c>
    </row>
    <row r="102" spans="2:18" ht="15.75" customHeight="1" x14ac:dyDescent="0.2">
      <c r="B102" s="169"/>
      <c r="C102" s="31" t="s">
        <v>78</v>
      </c>
      <c r="D102" s="47">
        <f>VLOOKUP($B86,[1]Complaints!$A$4:$AJ$39,13,)</f>
        <v>0</v>
      </c>
      <c r="E102" s="48">
        <f>VLOOKUP($B86,[2]Complaints!$A$4:$AJ$39,13,)</f>
        <v>0</v>
      </c>
      <c r="F102" s="48">
        <f>VLOOKUP($B86,[3]Complaints!$A$4:$AJ$39,13,)</f>
        <v>0</v>
      </c>
      <c r="G102" s="48">
        <f>VLOOKUP($B86,[4]Complaints!$A$4:$AJ$39,13,)</f>
        <v>0</v>
      </c>
      <c r="H102" s="48">
        <f>VLOOKUP($B86,[5]Complaints!$A$4:$AJ$39,13,)</f>
        <v>0</v>
      </c>
      <c r="I102" s="48">
        <f>VLOOKUP($B86,[6]Complaints!$A$4:$AJ$39,13,)</f>
        <v>0</v>
      </c>
      <c r="J102" s="48">
        <f>VLOOKUP($B86,[7]Complaints!$A$4:$AJ$39,13,)</f>
        <v>0</v>
      </c>
      <c r="K102" s="48">
        <f>VLOOKUP($B86,[8]Complaints!$A$4:$AJ$39,13,)</f>
        <v>0</v>
      </c>
      <c r="L102" s="48">
        <f>VLOOKUP($B86,[9]Complaints!$A$4:$AJ$39,13,)</f>
        <v>0</v>
      </c>
      <c r="M102" s="48">
        <f>VLOOKUP($B86,[10]Complaints!$A$4:$AJ$39,13,)</f>
        <v>0</v>
      </c>
      <c r="N102" s="48">
        <f>VLOOKUP($B86,[11]Complaints!$A$4:$AJ$39,13,)</f>
        <v>0</v>
      </c>
      <c r="O102" s="49">
        <f>VLOOKUP($B86,[12]Complaints!$A$4:$AJ$39,13,)</f>
        <v>0</v>
      </c>
      <c r="P102" s="55">
        <f t="shared" si="28"/>
        <v>0</v>
      </c>
      <c r="Q102" s="50" t="str">
        <f>IF(P102=0,"",P102/$P88)</f>
        <v/>
      </c>
      <c r="R102" s="18"/>
    </row>
    <row r="103" spans="2:18" ht="15.75" customHeight="1" x14ac:dyDescent="0.2">
      <c r="B103" s="169"/>
      <c r="C103" s="31" t="s">
        <v>92</v>
      </c>
      <c r="D103" s="47">
        <f>VLOOKUP($B86,[1]Complaints!$A$4:$AJ$39,14,)</f>
        <v>0</v>
      </c>
      <c r="E103" s="48">
        <f>VLOOKUP($B86,[2]Complaints!$A$4:$AJ$39,14,)</f>
        <v>0</v>
      </c>
      <c r="F103" s="48">
        <f>VLOOKUP($B86,[3]Complaints!$A$4:$AJ$39,14,)</f>
        <v>0</v>
      </c>
      <c r="G103" s="48">
        <f>VLOOKUP($B86,[4]Complaints!$A$4:$AJ$39,14,)</f>
        <v>0</v>
      </c>
      <c r="H103" s="48">
        <f>VLOOKUP($B86,[5]Complaints!$A$4:$AJ$39,14,)</f>
        <v>0</v>
      </c>
      <c r="I103" s="48">
        <f>VLOOKUP($B86,[6]Complaints!$A$4:$AJ$39,14,)</f>
        <v>0</v>
      </c>
      <c r="J103" s="48">
        <f>VLOOKUP($B86,[7]Complaints!$A$4:$AJ$39,14,)</f>
        <v>0</v>
      </c>
      <c r="K103" s="48">
        <f>VLOOKUP($B86,[8]Complaints!$A$4:$AJ$39,14,)</f>
        <v>0</v>
      </c>
      <c r="L103" s="48">
        <f>VLOOKUP($B86,[9]Complaints!$A$4:$AJ$39,14,)</f>
        <v>0</v>
      </c>
      <c r="M103" s="48">
        <f>VLOOKUP($B86,[10]Complaints!$A$4:$AJ$39,14,)</f>
        <v>0</v>
      </c>
      <c r="N103" s="48">
        <f>VLOOKUP($B86,[11]Complaints!$A$4:$AJ$39,14,)</f>
        <v>0</v>
      </c>
      <c r="O103" s="49">
        <f>VLOOKUP($B86,[12]Complaints!$A$4:$AJ$39,14,)</f>
        <v>0</v>
      </c>
      <c r="P103" s="55">
        <f t="shared" si="28"/>
        <v>0</v>
      </c>
      <c r="Q103" s="50" t="str">
        <f>IF(P103=0,"",P103/$P88)</f>
        <v/>
      </c>
      <c r="R103" s="18"/>
    </row>
    <row r="104" spans="2:18" ht="15.75" customHeight="1" x14ac:dyDescent="0.2">
      <c r="B104" s="169"/>
      <c r="C104" s="31" t="s">
        <v>91</v>
      </c>
      <c r="D104" s="47">
        <f>VLOOKUP($B86,[1]Complaints!$A$4:$AJ$39,15,)</f>
        <v>0</v>
      </c>
      <c r="E104" s="48">
        <f>VLOOKUP($B86,[2]Complaints!$A$4:$AJ$39,15,)</f>
        <v>0</v>
      </c>
      <c r="F104" s="48">
        <f>VLOOKUP($B86,[3]Complaints!$A$4:$AJ$39,15,)</f>
        <v>0</v>
      </c>
      <c r="G104" s="48">
        <f>VLOOKUP($B86,[4]Complaints!$A$4:$AJ$39,15,)</f>
        <v>0</v>
      </c>
      <c r="H104" s="48">
        <f>VLOOKUP($B86,[5]Complaints!$A$4:$AJ$39,15,)</f>
        <v>0</v>
      </c>
      <c r="I104" s="48">
        <f>VLOOKUP($B86,[6]Complaints!$A$4:$AJ$39,15,)</f>
        <v>0</v>
      </c>
      <c r="J104" s="48">
        <f>VLOOKUP($B86,[7]Complaints!$A$4:$AJ$39,15,)</f>
        <v>0</v>
      </c>
      <c r="K104" s="48">
        <f>VLOOKUP($B86,[8]Complaints!$A$4:$AJ$39,15,)</f>
        <v>0</v>
      </c>
      <c r="L104" s="48">
        <f>VLOOKUP($B86,[9]Complaints!$A$4:$AJ$39,15,)</f>
        <v>0</v>
      </c>
      <c r="M104" s="48">
        <f>VLOOKUP($B86,[10]Complaints!$A$4:$AJ$39,15,)</f>
        <v>0</v>
      </c>
      <c r="N104" s="48">
        <f>VLOOKUP($B86,[11]Complaints!$A$4:$AJ$39,15,)</f>
        <v>0</v>
      </c>
      <c r="O104" s="49">
        <f>VLOOKUP($B86,[12]Complaints!$A$4:$AJ$39,15,)</f>
        <v>0</v>
      </c>
      <c r="P104" s="55">
        <f t="shared" si="28"/>
        <v>0</v>
      </c>
      <c r="Q104" s="50" t="str">
        <f>IF(P104=0,"",P104/$P88)</f>
        <v/>
      </c>
      <c r="R104" s="18"/>
    </row>
    <row r="105" spans="2:18" ht="15.75" customHeight="1" x14ac:dyDescent="0.2">
      <c r="B105" s="169"/>
      <c r="C105" s="31" t="s">
        <v>79</v>
      </c>
      <c r="D105" s="47">
        <f>VLOOKUP($B86,[1]Complaints!$A$4:$AJ$39,16,)</f>
        <v>0</v>
      </c>
      <c r="E105" s="48">
        <f>VLOOKUP($B86,[2]Complaints!$A$4:$AJ$39,16,)</f>
        <v>0</v>
      </c>
      <c r="F105" s="48">
        <f>VLOOKUP($B86,[3]Complaints!$A$4:$AJ$39,16,)</f>
        <v>0</v>
      </c>
      <c r="G105" s="48">
        <f>VLOOKUP($B86,[4]Complaints!$A$4:$AJ$39,16,)</f>
        <v>0</v>
      </c>
      <c r="H105" s="48">
        <f>VLOOKUP($B86,[5]Complaints!$A$4:$AJ$39,16,)</f>
        <v>0</v>
      </c>
      <c r="I105" s="48">
        <f>VLOOKUP($B86,[6]Complaints!$A$4:$AJ$39,16,)</f>
        <v>0</v>
      </c>
      <c r="J105" s="48">
        <f>VLOOKUP($B86,[7]Complaints!$A$4:$AJ$39,16,)</f>
        <v>0</v>
      </c>
      <c r="K105" s="48">
        <f>VLOOKUP($B86,[8]Complaints!$A$4:$AJ$39,16,)</f>
        <v>0</v>
      </c>
      <c r="L105" s="48">
        <f>VLOOKUP($B86,[9]Complaints!$A$4:$AJ$39,16,)</f>
        <v>0</v>
      </c>
      <c r="M105" s="48">
        <f>VLOOKUP($B86,[10]Complaints!$A$4:$AJ$39,16,)</f>
        <v>0</v>
      </c>
      <c r="N105" s="48">
        <f>VLOOKUP($B86,[11]Complaints!$A$4:$AJ$39,16,)</f>
        <v>0</v>
      </c>
      <c r="O105" s="49">
        <f>VLOOKUP($B86,[12]Complaints!$A$4:$AJ$39,16,)</f>
        <v>0</v>
      </c>
      <c r="P105" s="55">
        <f t="shared" si="28"/>
        <v>0</v>
      </c>
      <c r="Q105" s="50" t="str">
        <f>IF(P105=0,"",P105/$P88)</f>
        <v/>
      </c>
      <c r="R105" s="18"/>
    </row>
    <row r="106" spans="2:18" ht="15.75" customHeight="1" x14ac:dyDescent="0.2">
      <c r="B106" s="169"/>
      <c r="C106" s="31" t="s">
        <v>80</v>
      </c>
      <c r="D106" s="47">
        <f>VLOOKUP($B86,[1]Complaints!$A$4:$AJ$39,17,)</f>
        <v>0</v>
      </c>
      <c r="E106" s="48">
        <f>VLOOKUP($B86,[2]Complaints!$A$4:$AJ$39,17,)</f>
        <v>0</v>
      </c>
      <c r="F106" s="48">
        <f>VLOOKUP($B86,[3]Complaints!$A$4:$AJ$39,17,)</f>
        <v>0</v>
      </c>
      <c r="G106" s="48">
        <f>VLOOKUP($B86,[4]Complaints!$A$4:$AJ$39,17,)</f>
        <v>0</v>
      </c>
      <c r="H106" s="48">
        <f>VLOOKUP($B86,[5]Complaints!$A$4:$AJ$39,17,)</f>
        <v>0</v>
      </c>
      <c r="I106" s="48">
        <f>VLOOKUP($B86,[6]Complaints!$A$4:$AJ$39,17,)</f>
        <v>0</v>
      </c>
      <c r="J106" s="48">
        <f>VLOOKUP($B86,[7]Complaints!$A$4:$AJ$39,17,)</f>
        <v>0</v>
      </c>
      <c r="K106" s="48">
        <f>VLOOKUP($B86,[8]Complaints!$A$4:$AJ$39,17,)</f>
        <v>0</v>
      </c>
      <c r="L106" s="48">
        <f>VLOOKUP($B86,[9]Complaints!$A$4:$AJ$39,17,)</f>
        <v>0</v>
      </c>
      <c r="M106" s="48">
        <f>VLOOKUP($B86,[10]Complaints!$A$4:$AJ$39,17,)</f>
        <v>0</v>
      </c>
      <c r="N106" s="48">
        <f>VLOOKUP($B86,[11]Complaints!$A$4:$AJ$39,17,)</f>
        <v>0</v>
      </c>
      <c r="O106" s="49">
        <f>VLOOKUP($B86,[12]Complaints!$A$4:$AJ$39,17,)</f>
        <v>0</v>
      </c>
      <c r="P106" s="55">
        <f t="shared" si="28"/>
        <v>0</v>
      </c>
      <c r="Q106" s="50" t="str">
        <f>IF(P106=0,"",P106/$P88)</f>
        <v/>
      </c>
      <c r="R106" s="18"/>
    </row>
    <row r="107" spans="2:18" ht="15.75" customHeight="1" x14ac:dyDescent="0.2">
      <c r="B107" s="169"/>
      <c r="C107" s="31" t="s">
        <v>81</v>
      </c>
      <c r="D107" s="47">
        <f>VLOOKUP($B86,[1]Complaints!$A$4:$AJ$39,18,)</f>
        <v>0</v>
      </c>
      <c r="E107" s="48">
        <f>VLOOKUP($B86,[2]Complaints!$A$4:$AJ$39,18,)</f>
        <v>0</v>
      </c>
      <c r="F107" s="48">
        <f>VLOOKUP($B86,[3]Complaints!$A$4:$AJ$39,18,)</f>
        <v>0</v>
      </c>
      <c r="G107" s="48">
        <f>VLOOKUP($B86,[4]Complaints!$A$4:$AJ$39,18,)</f>
        <v>0</v>
      </c>
      <c r="H107" s="48">
        <f>VLOOKUP($B86,[5]Complaints!$A$4:$AJ$39,18,)</f>
        <v>0</v>
      </c>
      <c r="I107" s="48">
        <f>VLOOKUP($B86,[6]Complaints!$A$4:$AJ$39,18,)</f>
        <v>0</v>
      </c>
      <c r="J107" s="48">
        <f>VLOOKUP($B86,[7]Complaints!$A$4:$AJ$39,18,)</f>
        <v>0</v>
      </c>
      <c r="K107" s="48">
        <f>VLOOKUP($B86,[8]Complaints!$A$4:$AJ$39,18,)</f>
        <v>0</v>
      </c>
      <c r="L107" s="48">
        <f>VLOOKUP($B86,[9]Complaints!$A$4:$AJ$39,18,)</f>
        <v>0</v>
      </c>
      <c r="M107" s="48">
        <f>VLOOKUP($B86,[10]Complaints!$A$4:$AJ$39,18,)</f>
        <v>0</v>
      </c>
      <c r="N107" s="48">
        <f>VLOOKUP($B86,[11]Complaints!$A$4:$AJ$39,18,)</f>
        <v>0</v>
      </c>
      <c r="O107" s="49">
        <f>VLOOKUP($B86,[12]Complaints!$A$4:$AJ$39,18,)</f>
        <v>0</v>
      </c>
      <c r="P107" s="55">
        <f t="shared" si="28"/>
        <v>0</v>
      </c>
      <c r="Q107" s="50" t="str">
        <f>IF(P107=0,"",P107/$P88)</f>
        <v/>
      </c>
      <c r="R107" s="18"/>
    </row>
    <row r="108" spans="2:18" ht="15.75" customHeight="1" x14ac:dyDescent="0.2">
      <c r="B108" s="169"/>
      <c r="C108" s="31" t="s">
        <v>82</v>
      </c>
      <c r="D108" s="47">
        <f>VLOOKUP($B86,[1]Complaints!$A$4:$AJ$39,19,)</f>
        <v>0</v>
      </c>
      <c r="E108" s="48">
        <f>VLOOKUP($B86,[2]Complaints!$A$4:$AJ$39,19,)</f>
        <v>0</v>
      </c>
      <c r="F108" s="48">
        <f>VLOOKUP($B86,[3]Complaints!$A$4:$AJ$39,19,)</f>
        <v>0</v>
      </c>
      <c r="G108" s="48">
        <f>VLOOKUP($B86,[4]Complaints!$A$4:$AJ$39,19,)</f>
        <v>0</v>
      </c>
      <c r="H108" s="48">
        <f>VLOOKUP($B86,[5]Complaints!$A$4:$AJ$39,19,)</f>
        <v>0</v>
      </c>
      <c r="I108" s="48">
        <f>VLOOKUP($B86,[6]Complaints!$A$4:$AJ$39,19,)</f>
        <v>0</v>
      </c>
      <c r="J108" s="48">
        <f>VLOOKUP($B86,[7]Complaints!$A$4:$AJ$39,19,)</f>
        <v>0</v>
      </c>
      <c r="K108" s="48">
        <f>VLOOKUP($B86,[8]Complaints!$A$4:$AJ$39,19,)</f>
        <v>0</v>
      </c>
      <c r="L108" s="48">
        <f>VLOOKUP($B86,[9]Complaints!$A$4:$AJ$39,19,)</f>
        <v>0</v>
      </c>
      <c r="M108" s="48">
        <f>VLOOKUP($B86,[10]Complaints!$A$4:$AJ$39,19,)</f>
        <v>0</v>
      </c>
      <c r="N108" s="48">
        <f>VLOOKUP($B86,[11]Complaints!$A$4:$AJ$39,19,)</f>
        <v>0</v>
      </c>
      <c r="O108" s="49">
        <f>VLOOKUP($B86,[12]Complaints!$A$4:$AJ$39,19,)</f>
        <v>0</v>
      </c>
      <c r="P108" s="55">
        <f t="shared" si="28"/>
        <v>0</v>
      </c>
      <c r="Q108" s="50" t="str">
        <f>IF(P108=0,"",P108/$P88)</f>
        <v/>
      </c>
      <c r="R108" s="18"/>
    </row>
    <row r="109" spans="2:18" ht="15.75" customHeight="1" thickBot="1" x14ac:dyDescent="0.25">
      <c r="B109" s="170"/>
      <c r="C109" s="31" t="s">
        <v>83</v>
      </c>
      <c r="D109" s="47">
        <f>VLOOKUP($B86,[1]Complaints!$A$4:$AJ$39,20,)</f>
        <v>0</v>
      </c>
      <c r="E109" s="48">
        <f>VLOOKUP($B86,[2]Complaints!$A$4:$AJ$39,20,)</f>
        <v>0</v>
      </c>
      <c r="F109" s="48">
        <f>VLOOKUP($B86,[3]Complaints!$A$4:$AJ$39,20,)</f>
        <v>0</v>
      </c>
      <c r="G109" s="48">
        <f>VLOOKUP($B86,[4]Complaints!$A$4:$AJ$39,20,)</f>
        <v>0</v>
      </c>
      <c r="H109" s="48">
        <f>VLOOKUP($B86,[5]Complaints!$A$4:$AJ$39,20,)</f>
        <v>0</v>
      </c>
      <c r="I109" s="48">
        <f>VLOOKUP($B86,[6]Complaints!$A$4:$AJ$39,20,)</f>
        <v>0</v>
      </c>
      <c r="J109" s="48">
        <f>VLOOKUP($B86,[7]Complaints!$A$4:$AJ$39,20,)</f>
        <v>0</v>
      </c>
      <c r="K109" s="48">
        <f>VLOOKUP($B86,[8]Complaints!$A$4:$AJ$39,20,)</f>
        <v>0</v>
      </c>
      <c r="L109" s="48">
        <f>VLOOKUP($B86,[9]Complaints!$A$4:$AJ$39,20,)</f>
        <v>0</v>
      </c>
      <c r="M109" s="48">
        <f>VLOOKUP($B86,[10]Complaints!$A$4:$AJ$39,20,)</f>
        <v>0</v>
      </c>
      <c r="N109" s="48">
        <f>VLOOKUP($B86,[11]Complaints!$A$4:$AJ$39,20,)</f>
        <v>0</v>
      </c>
      <c r="O109" s="49">
        <f>VLOOKUP($B86,[12]Complaints!$A$4:$AJ$39,20,)</f>
        <v>0</v>
      </c>
      <c r="P109" s="55">
        <f t="shared" si="28"/>
        <v>0</v>
      </c>
      <c r="Q109" s="50" t="str">
        <f>IF(P109=0,"",P109/$P88)</f>
        <v/>
      </c>
      <c r="R109" s="18"/>
    </row>
    <row r="110" spans="2:18" ht="15.75" customHeight="1" x14ac:dyDescent="0.2">
      <c r="B110" s="144" t="s">
        <v>90</v>
      </c>
      <c r="C110" s="37" t="s">
        <v>118</v>
      </c>
      <c r="D110" s="62">
        <f>VLOOKUP($B86,[1]Complaints!$A$4:$AJ$39,21,)</f>
        <v>0</v>
      </c>
      <c r="E110" s="63">
        <f>VLOOKUP($B86,[2]Complaints!$A$4:$AJ$39,21,)</f>
        <v>0</v>
      </c>
      <c r="F110" s="63">
        <f>VLOOKUP($B86,[3]Complaints!$A$4:$AJ$39,21,)</f>
        <v>1</v>
      </c>
      <c r="G110" s="63">
        <f>VLOOKUP($B86,[4]Complaints!$A$4:$AJ$39,21,)</f>
        <v>0</v>
      </c>
      <c r="H110" s="63">
        <f>VLOOKUP($B86,[5]Complaints!$A$4:$AJ$39,21,)</f>
        <v>0</v>
      </c>
      <c r="I110" s="63">
        <f>VLOOKUP($B86,[6]Complaints!$A$4:$AJ$39,21,)</f>
        <v>0</v>
      </c>
      <c r="J110" s="63">
        <f>VLOOKUP($B86,[7]Complaints!$A$4:$AJ$39,21,)</f>
        <v>0</v>
      </c>
      <c r="K110" s="63">
        <f>VLOOKUP($B86,[8]Complaints!$A$4:$AJ$39,21,)</f>
        <v>0</v>
      </c>
      <c r="L110" s="63">
        <f>VLOOKUP($B86,[9]Complaints!$A$4:$AJ$39,21,)</f>
        <v>0</v>
      </c>
      <c r="M110" s="63">
        <f>VLOOKUP($B86,[10]Complaints!$A$4:$AJ$39,21,)</f>
        <v>0</v>
      </c>
      <c r="N110" s="63">
        <f>VLOOKUP($B86,[11]Complaints!$A$4:$AJ$39,21,)</f>
        <v>0</v>
      </c>
      <c r="O110" s="64">
        <f>VLOOKUP($B86,[12]Complaints!$A$4:$AJ$39,21,)</f>
        <v>0</v>
      </c>
      <c r="P110" s="65">
        <f>SUM(D110:O110)</f>
        <v>1</v>
      </c>
      <c r="Q110" s="46">
        <f>IF(P110=0,"",P110/$P94)</f>
        <v>1</v>
      </c>
      <c r="R110" s="18"/>
    </row>
    <row r="111" spans="2:18" ht="15.75" customHeight="1" x14ac:dyDescent="0.2">
      <c r="B111" s="145"/>
      <c r="C111" s="38" t="s">
        <v>77</v>
      </c>
      <c r="D111" s="66">
        <f>VLOOKUP($B86,[1]Complaints!$A$4:$AJ$39,22,)</f>
        <v>0</v>
      </c>
      <c r="E111" s="67">
        <f>VLOOKUP($B86,[2]Complaints!$A$4:$AJ$39,22,)</f>
        <v>0</v>
      </c>
      <c r="F111" s="67">
        <f>VLOOKUP($B86,[3]Complaints!$A$4:$AJ$39,22,)</f>
        <v>1</v>
      </c>
      <c r="G111" s="67">
        <f>VLOOKUP($B86,[4]Complaints!$A$4:$AJ$39,22,)</f>
        <v>0</v>
      </c>
      <c r="H111" s="67">
        <f>VLOOKUP($B86,[5]Complaints!$A$4:$AJ$39,22,)</f>
        <v>0</v>
      </c>
      <c r="I111" s="67">
        <f>VLOOKUP($B86,[6]Complaints!$A$4:$AJ$39,22,)</f>
        <v>0</v>
      </c>
      <c r="J111" s="67">
        <f>VLOOKUP($B86,[7]Complaints!$A$4:$AJ$39,22,)</f>
        <v>0</v>
      </c>
      <c r="K111" s="67">
        <f>VLOOKUP($B86,[8]Complaints!$A$4:$AJ$39,22,)</f>
        <v>0</v>
      </c>
      <c r="L111" s="67">
        <f>VLOOKUP($B86,[9]Complaints!$A$4:$AJ$39,22,)</f>
        <v>0</v>
      </c>
      <c r="M111" s="67">
        <f>VLOOKUP($B86,[10]Complaints!$A$4:$AJ$39,22,)</f>
        <v>0</v>
      </c>
      <c r="N111" s="67">
        <f>VLOOKUP($B86,[11]Complaints!$A$4:$AJ$39,22,)</f>
        <v>0</v>
      </c>
      <c r="O111" s="68">
        <f>VLOOKUP($B86,[12]Complaints!$A$4:$AJ$39,22,)</f>
        <v>0</v>
      </c>
      <c r="P111" s="69">
        <f t="shared" ref="P111:P125" si="29">SUM(D111:O111)</f>
        <v>1</v>
      </c>
      <c r="Q111" s="70">
        <f>IF(P111=0,"",P111/$P94)</f>
        <v>1</v>
      </c>
      <c r="R111" s="18"/>
    </row>
    <row r="112" spans="2:18" ht="15.75" customHeight="1" x14ac:dyDescent="0.2">
      <c r="B112" s="145"/>
      <c r="C112" s="38" t="s">
        <v>108</v>
      </c>
      <c r="D112" s="66">
        <f>VLOOKUP($B86,[1]Complaints!$A$4:$AJ$39,23,)</f>
        <v>0</v>
      </c>
      <c r="E112" s="67">
        <f>VLOOKUP($B86,[2]Complaints!$A$4:$AJ$39,23,)</f>
        <v>0</v>
      </c>
      <c r="F112" s="67">
        <f>VLOOKUP($B86,[3]Complaints!$A$4:$AJ$39,23,)</f>
        <v>0</v>
      </c>
      <c r="G112" s="67">
        <f>VLOOKUP($B86,[4]Complaints!$A$4:$AJ$39,23,)</f>
        <v>0</v>
      </c>
      <c r="H112" s="67">
        <f>VLOOKUP($B86,[5]Complaints!$A$4:$AJ$39,23,)</f>
        <v>0</v>
      </c>
      <c r="I112" s="67">
        <f>VLOOKUP($B86,[6]Complaints!$A$4:$AJ$39,23,)</f>
        <v>0</v>
      </c>
      <c r="J112" s="67">
        <f>VLOOKUP($B86,[7]Complaints!$A$4:$AJ$39,23,)</f>
        <v>0</v>
      </c>
      <c r="K112" s="67">
        <f>VLOOKUP($B86,[8]Complaints!$A$4:$AJ$39,23,)</f>
        <v>0</v>
      </c>
      <c r="L112" s="67">
        <f>VLOOKUP($B86,[9]Complaints!$A$4:$AJ$39,23,)</f>
        <v>0</v>
      </c>
      <c r="M112" s="67">
        <f>VLOOKUP($B86,[10]Complaints!$A$4:$AJ$39,23,)</f>
        <v>0</v>
      </c>
      <c r="N112" s="67">
        <f>VLOOKUP($B86,[11]Complaints!$A$4:$AJ$39,23,)</f>
        <v>0</v>
      </c>
      <c r="O112" s="68">
        <f>VLOOKUP($B86,[12]Complaints!$A$4:$AJ$39,23,)</f>
        <v>0</v>
      </c>
      <c r="P112" s="69">
        <f t="shared" si="29"/>
        <v>0</v>
      </c>
      <c r="Q112" s="70" t="str">
        <f>IF(P112=0,"",P112/$P94)</f>
        <v/>
      </c>
      <c r="R112" s="18"/>
    </row>
    <row r="113" spans="1:19" ht="15.75" customHeight="1" x14ac:dyDescent="0.2">
      <c r="B113" s="145"/>
      <c r="C113" s="38" t="s">
        <v>88</v>
      </c>
      <c r="D113" s="66">
        <f>VLOOKUP($B86,[1]Complaints!$A$4:$AJ$39,24,)</f>
        <v>0</v>
      </c>
      <c r="E113" s="67">
        <f>VLOOKUP($B86,[2]Complaints!$A$4:$AJ$39,24,)</f>
        <v>0</v>
      </c>
      <c r="F113" s="67">
        <f>VLOOKUP($B86,[3]Complaints!$A$4:$AJ$39,24,)</f>
        <v>0</v>
      </c>
      <c r="G113" s="67">
        <f>VLOOKUP($B86,[4]Complaints!$A$4:$AJ$39,24,)</f>
        <v>0</v>
      </c>
      <c r="H113" s="67">
        <f>VLOOKUP($B86,[5]Complaints!$A$4:$AJ$39,24,)</f>
        <v>0</v>
      </c>
      <c r="I113" s="67">
        <f>VLOOKUP($B86,[6]Complaints!$A$4:$AJ$39,24,)</f>
        <v>0</v>
      </c>
      <c r="J113" s="67">
        <f>VLOOKUP($B86,[7]Complaints!$A$4:$AJ$39,24,)</f>
        <v>0</v>
      </c>
      <c r="K113" s="67">
        <f>VLOOKUP($B86,[8]Complaints!$A$4:$AJ$39,24,)</f>
        <v>0</v>
      </c>
      <c r="L113" s="67">
        <f>VLOOKUP($B86,[9]Complaints!$A$4:$AJ$39,24,)</f>
        <v>0</v>
      </c>
      <c r="M113" s="67">
        <f>VLOOKUP($B86,[10]Complaints!$A$4:$AJ$39,24,)</f>
        <v>0</v>
      </c>
      <c r="N113" s="67">
        <f>VLOOKUP($B86,[11]Complaints!$A$4:$AJ$39,24,)</f>
        <v>0</v>
      </c>
      <c r="O113" s="68">
        <f>VLOOKUP($B86,[12]Complaints!$A$4:$AJ$39,24,)</f>
        <v>0</v>
      </c>
      <c r="P113" s="69">
        <f t="shared" si="29"/>
        <v>0</v>
      </c>
      <c r="Q113" s="70" t="str">
        <f>IF(P113=0,"",P113/$P94)</f>
        <v/>
      </c>
      <c r="R113" s="18"/>
    </row>
    <row r="114" spans="1:19" ht="15.75" customHeight="1" x14ac:dyDescent="0.2">
      <c r="B114" s="145"/>
      <c r="C114" s="38" t="s">
        <v>109</v>
      </c>
      <c r="D114" s="66">
        <f>VLOOKUP($B86,[1]Complaints!$A$4:$AJ$39,25,)</f>
        <v>0</v>
      </c>
      <c r="E114" s="67">
        <f>VLOOKUP($B86,[2]Complaints!$A$4:$AJ$39,25,)</f>
        <v>0</v>
      </c>
      <c r="F114" s="67">
        <f>VLOOKUP($B86,[3]Complaints!$A$4:$AJ$39,25,)</f>
        <v>0</v>
      </c>
      <c r="G114" s="67">
        <f>VLOOKUP($B86,[4]Complaints!$A$4:$AJ$39,25,)</f>
        <v>0</v>
      </c>
      <c r="H114" s="67">
        <f>VLOOKUP($B86,[5]Complaints!$A$4:$AJ$39,25,)</f>
        <v>0</v>
      </c>
      <c r="I114" s="67">
        <f>VLOOKUP($B86,[6]Complaints!$A$4:$AJ$39,25,)</f>
        <v>0</v>
      </c>
      <c r="J114" s="67">
        <f>VLOOKUP($B86,[7]Complaints!$A$4:$AJ$39,25,)</f>
        <v>0</v>
      </c>
      <c r="K114" s="67">
        <f>VLOOKUP($B86,[8]Complaints!$A$4:$AJ$39,25,)</f>
        <v>0</v>
      </c>
      <c r="L114" s="67">
        <f>VLOOKUP($B86,[9]Complaints!$A$4:$AJ$39,25,)</f>
        <v>0</v>
      </c>
      <c r="M114" s="67">
        <f>VLOOKUP($B86,[10]Complaints!$A$4:$AJ$39,25,)</f>
        <v>0</v>
      </c>
      <c r="N114" s="67">
        <f>VLOOKUP($B86,[11]Complaints!$A$4:$AJ$39,25,)</f>
        <v>0</v>
      </c>
      <c r="O114" s="68">
        <f>VLOOKUP($B86,[12]Complaints!$A$4:$AJ$39,25,)</f>
        <v>0</v>
      </c>
      <c r="P114" s="69">
        <f t="shared" si="29"/>
        <v>0</v>
      </c>
      <c r="Q114" s="70" t="str">
        <f>IF(P114=0,"",P114/$P94)</f>
        <v/>
      </c>
      <c r="R114" s="18"/>
    </row>
    <row r="115" spans="1:19" ht="15.75" customHeight="1" x14ac:dyDescent="0.2">
      <c r="A115" s="21"/>
      <c r="B115" s="145"/>
      <c r="C115" s="38" t="s">
        <v>110</v>
      </c>
      <c r="D115" s="66">
        <f>VLOOKUP($B86,[1]Complaints!$A$4:$AJ$39,26,)</f>
        <v>0</v>
      </c>
      <c r="E115" s="67">
        <f>VLOOKUP($B86,[2]Complaints!$A$4:$AJ$39,26,)</f>
        <v>0</v>
      </c>
      <c r="F115" s="67">
        <f>VLOOKUP($B86,[3]Complaints!$A$4:$AJ$39,26,)</f>
        <v>0</v>
      </c>
      <c r="G115" s="67">
        <f>VLOOKUP($B86,[4]Complaints!$A$4:$AJ$39,26,)</f>
        <v>0</v>
      </c>
      <c r="H115" s="67">
        <f>VLOOKUP($B86,[5]Complaints!$A$4:$AJ$39,26,)</f>
        <v>0</v>
      </c>
      <c r="I115" s="67">
        <f>VLOOKUP($B86,[6]Complaints!$A$4:$AJ$39,26,)</f>
        <v>0</v>
      </c>
      <c r="J115" s="67">
        <f>VLOOKUP($B86,[7]Complaints!$A$4:$AJ$39,26,)</f>
        <v>0</v>
      </c>
      <c r="K115" s="67">
        <f>VLOOKUP($B86,[8]Complaints!$A$4:$AJ$39,26,)</f>
        <v>0</v>
      </c>
      <c r="L115" s="67">
        <f>VLOOKUP($B86,[9]Complaints!$A$4:$AJ$39,26,)</f>
        <v>0</v>
      </c>
      <c r="M115" s="67">
        <f>VLOOKUP($B86,[10]Complaints!$A$4:$AJ$39,26,)</f>
        <v>0</v>
      </c>
      <c r="N115" s="67">
        <f>VLOOKUP($B86,[11]Complaints!$A$4:$AJ$39,26,)</f>
        <v>0</v>
      </c>
      <c r="O115" s="68">
        <f>VLOOKUP($B86,[12]Complaints!$A$4:$AJ$39,26,)</f>
        <v>0</v>
      </c>
      <c r="P115" s="69">
        <f t="shared" si="29"/>
        <v>0</v>
      </c>
      <c r="Q115" s="70" t="str">
        <f>IF(P115=0,"",P115/$P94)</f>
        <v/>
      </c>
      <c r="R115" s="18"/>
    </row>
    <row r="116" spans="1:19" s="21" customFormat="1" ht="15.75" customHeight="1" x14ac:dyDescent="0.2">
      <c r="B116" s="145"/>
      <c r="C116" s="39" t="s">
        <v>107</v>
      </c>
      <c r="D116" s="71">
        <f>VLOOKUP($B86,[1]Complaints!$A$4:$AJ$39,27,)</f>
        <v>0</v>
      </c>
      <c r="E116" s="72">
        <f>VLOOKUP($B86,[2]Complaints!$A$4:$AJ$39,27,)</f>
        <v>0</v>
      </c>
      <c r="F116" s="72">
        <f>VLOOKUP($B86,[3]Complaints!$A$4:$AJ$39,27,)</f>
        <v>0</v>
      </c>
      <c r="G116" s="72">
        <f>VLOOKUP($B86,[4]Complaints!$A$4:$AJ$39,27,)</f>
        <v>0</v>
      </c>
      <c r="H116" s="72">
        <f>VLOOKUP($B86,[5]Complaints!$A$4:$AJ$39,27,)</f>
        <v>0</v>
      </c>
      <c r="I116" s="72">
        <f>VLOOKUP($B86,[6]Complaints!$A$4:$AJ$39,27,)</f>
        <v>0</v>
      </c>
      <c r="J116" s="72">
        <f>VLOOKUP($B86,[7]Complaints!$A$4:$AJ$39,27,)</f>
        <v>0</v>
      </c>
      <c r="K116" s="72">
        <f>VLOOKUP($B86,[8]Complaints!$A$4:$AJ$39,27,)</f>
        <v>0</v>
      </c>
      <c r="L116" s="72">
        <f>VLOOKUP($B86,[9]Complaints!$A$4:$AJ$39,27,)</f>
        <v>0</v>
      </c>
      <c r="M116" s="72">
        <f>VLOOKUP($B86,[10]Complaints!$A$4:$AJ$39,27,)</f>
        <v>0</v>
      </c>
      <c r="N116" s="72">
        <f>VLOOKUP($B86,[11]Complaints!$A$4:$AJ$39,27,)</f>
        <v>0</v>
      </c>
      <c r="O116" s="73">
        <f>VLOOKUP($B86,[12]Complaints!$A$4:$AJ$39,27,)</f>
        <v>0</v>
      </c>
      <c r="P116" s="69">
        <f t="shared" si="29"/>
        <v>0</v>
      </c>
      <c r="Q116" s="70" t="str">
        <f>IF(P116=0,"",P116/$P94)</f>
        <v/>
      </c>
      <c r="S116" s="18"/>
    </row>
    <row r="117" spans="1:19" ht="15.75" customHeight="1" x14ac:dyDescent="0.2">
      <c r="B117" s="145"/>
      <c r="C117" s="39" t="s">
        <v>87</v>
      </c>
      <c r="D117" s="71">
        <f>VLOOKUP($B86,[1]Complaints!$A$4:$AJ$39,28,)</f>
        <v>0</v>
      </c>
      <c r="E117" s="72">
        <f>VLOOKUP($B86,[2]Complaints!$A$4:$AJ$39,28,)</f>
        <v>0</v>
      </c>
      <c r="F117" s="72">
        <f>VLOOKUP($B86,[3]Complaints!$A$4:$AJ$39,28,)</f>
        <v>0</v>
      </c>
      <c r="G117" s="72">
        <f>VLOOKUP($B86,[4]Complaints!$A$4:$AJ$39,28,)</f>
        <v>0</v>
      </c>
      <c r="H117" s="72">
        <f>VLOOKUP($B86,[5]Complaints!$A$4:$AJ$39,28,)</f>
        <v>0</v>
      </c>
      <c r="I117" s="72">
        <f>VLOOKUP($B86,[6]Complaints!$A$4:$AJ$39,28,)</f>
        <v>0</v>
      </c>
      <c r="J117" s="72">
        <f>VLOOKUP($B86,[7]Complaints!$A$4:$AJ$39,28,)</f>
        <v>0</v>
      </c>
      <c r="K117" s="72">
        <f>VLOOKUP($B86,[8]Complaints!$A$4:$AJ$39,28,)</f>
        <v>0</v>
      </c>
      <c r="L117" s="72">
        <f>VLOOKUP($B86,[9]Complaints!$A$4:$AJ$39,28,)</f>
        <v>0</v>
      </c>
      <c r="M117" s="72">
        <f>VLOOKUP($B86,[10]Complaints!$A$4:$AJ$39,28,)</f>
        <v>0</v>
      </c>
      <c r="N117" s="72">
        <f>VLOOKUP($B86,[11]Complaints!$A$4:$AJ$39,28,)</f>
        <v>0</v>
      </c>
      <c r="O117" s="73">
        <f>VLOOKUP($B86,[12]Complaints!$A$4:$AJ$39,28,)</f>
        <v>0</v>
      </c>
      <c r="P117" s="69">
        <f t="shared" si="29"/>
        <v>0</v>
      </c>
      <c r="Q117" s="70" t="str">
        <f>IF(P117=0,"",P117/$P94)</f>
        <v/>
      </c>
      <c r="R117" s="18"/>
    </row>
    <row r="118" spans="1:19" ht="15.75" customHeight="1" x14ac:dyDescent="0.2">
      <c r="B118" s="145"/>
      <c r="C118" s="38" t="s">
        <v>111</v>
      </c>
      <c r="D118" s="66">
        <f>VLOOKUP($B86,[1]Complaints!$A$4:$AJ$39,29,)</f>
        <v>0</v>
      </c>
      <c r="E118" s="67">
        <f>VLOOKUP($B86,[2]Complaints!$A$4:$AJ$39,29,)</f>
        <v>0</v>
      </c>
      <c r="F118" s="67">
        <f>VLOOKUP($B86,[3]Complaints!$A$4:$AJ$39,29,)</f>
        <v>0</v>
      </c>
      <c r="G118" s="67">
        <f>VLOOKUP($B86,[4]Complaints!$A$4:$AJ$39,29,)</f>
        <v>0</v>
      </c>
      <c r="H118" s="67">
        <f>VLOOKUP($B86,[5]Complaints!$A$4:$AJ$39,29,)</f>
        <v>0</v>
      </c>
      <c r="I118" s="67">
        <f>VLOOKUP($B86,[6]Complaints!$A$4:$AJ$39,29,)</f>
        <v>0</v>
      </c>
      <c r="J118" s="67">
        <f>VLOOKUP($B86,[7]Complaints!$A$4:$AJ$39,29,)</f>
        <v>0</v>
      </c>
      <c r="K118" s="67">
        <f>VLOOKUP($B86,[8]Complaints!$A$4:$AJ$39,29,)</f>
        <v>0</v>
      </c>
      <c r="L118" s="67">
        <f>VLOOKUP($B86,[9]Complaints!$A$4:$AJ$39,29,)</f>
        <v>0</v>
      </c>
      <c r="M118" s="67">
        <f>VLOOKUP($B86,[10]Complaints!$A$4:$AJ$39,29,)</f>
        <v>0</v>
      </c>
      <c r="N118" s="67">
        <f>VLOOKUP($B86,[11]Complaints!$A$4:$AJ$39,29,)</f>
        <v>0</v>
      </c>
      <c r="O118" s="68">
        <f>VLOOKUP($B86,[12]Complaints!$A$4:$AJ$39,29,)</f>
        <v>0</v>
      </c>
      <c r="P118" s="69">
        <f t="shared" si="29"/>
        <v>0</v>
      </c>
      <c r="Q118" s="70" t="str">
        <f>IF(P118=0,"",P118/$P94)</f>
        <v/>
      </c>
      <c r="R118" s="18"/>
    </row>
    <row r="119" spans="1:19" ht="15.75" customHeight="1" x14ac:dyDescent="0.2">
      <c r="B119" s="145"/>
      <c r="C119" s="38" t="s">
        <v>112</v>
      </c>
      <c r="D119" s="66">
        <f>VLOOKUP($B86,[1]Complaints!$A$4:$AJ$39,30,)</f>
        <v>0</v>
      </c>
      <c r="E119" s="67">
        <f>VLOOKUP($B86,[2]Complaints!$A$4:$AJ$39,30,)</f>
        <v>0</v>
      </c>
      <c r="F119" s="67">
        <f>VLOOKUP($B86,[3]Complaints!$A$4:$AJ$39,30,)</f>
        <v>0</v>
      </c>
      <c r="G119" s="67">
        <f>VLOOKUP($B86,[4]Complaints!$A$4:$AJ$39,30,)</f>
        <v>0</v>
      </c>
      <c r="H119" s="67">
        <f>VLOOKUP($B86,[5]Complaints!$A$4:$AJ$39,30,)</f>
        <v>0</v>
      </c>
      <c r="I119" s="67">
        <f>VLOOKUP($B86,[6]Complaints!$A$4:$AJ$39,30,)</f>
        <v>0</v>
      </c>
      <c r="J119" s="67">
        <f>VLOOKUP($B86,[7]Complaints!$A$4:$AJ$39,30,)</f>
        <v>0</v>
      </c>
      <c r="K119" s="67">
        <f>VLOOKUP($B86,[8]Complaints!$A$4:$AJ$39,30,)</f>
        <v>0</v>
      </c>
      <c r="L119" s="67">
        <f>VLOOKUP($B86,[9]Complaints!$A$4:$AJ$39,30,)</f>
        <v>0</v>
      </c>
      <c r="M119" s="67">
        <f>VLOOKUP($B86,[10]Complaints!$A$4:$AJ$39,30,)</f>
        <v>0</v>
      </c>
      <c r="N119" s="67">
        <f>VLOOKUP($B86,[11]Complaints!$A$4:$AJ$39,30,)</f>
        <v>0</v>
      </c>
      <c r="O119" s="68">
        <f>VLOOKUP($B86,[12]Complaints!$A$4:$AJ$39,30,)</f>
        <v>0</v>
      </c>
      <c r="P119" s="69">
        <f t="shared" si="29"/>
        <v>0</v>
      </c>
      <c r="Q119" s="70" t="str">
        <f>IF(P119=0,"",P119/$P94)</f>
        <v/>
      </c>
      <c r="R119" s="18"/>
    </row>
    <row r="120" spans="1:19" ht="15.75" customHeight="1" x14ac:dyDescent="0.2">
      <c r="B120" s="146"/>
      <c r="C120" s="40" t="s">
        <v>119</v>
      </c>
      <c r="D120" s="74">
        <f>VLOOKUP($B86,[1]Complaints!$A$4:$AJ$39,31,)</f>
        <v>0</v>
      </c>
      <c r="E120" s="75">
        <f>VLOOKUP($B86,[2]Complaints!$A$4:$AJ$39,31,)</f>
        <v>0</v>
      </c>
      <c r="F120" s="75">
        <f>VLOOKUP($B86,[3]Complaints!$A$4:$AJ$39,31,)</f>
        <v>0</v>
      </c>
      <c r="G120" s="75">
        <f>VLOOKUP($B86,[4]Complaints!$A$4:$AJ$39,31,)</f>
        <v>0</v>
      </c>
      <c r="H120" s="75">
        <f>VLOOKUP($B86,[5]Complaints!$A$4:$AJ$39,31,)</f>
        <v>0</v>
      </c>
      <c r="I120" s="75">
        <f>VLOOKUP($B86,[6]Complaints!$A$4:$AJ$39,31,)</f>
        <v>0</v>
      </c>
      <c r="J120" s="75">
        <f>VLOOKUP($B86,[7]Complaints!$A$4:$AJ$39,31,)</f>
        <v>0</v>
      </c>
      <c r="K120" s="75">
        <f>VLOOKUP($B86,[8]Complaints!$A$4:$AJ$39,31,)</f>
        <v>0</v>
      </c>
      <c r="L120" s="75">
        <f>VLOOKUP($B86,[9]Complaints!$A$4:$AJ$39,31,)</f>
        <v>0</v>
      </c>
      <c r="M120" s="75">
        <f>VLOOKUP($B86,[10]Complaints!$A$4:$AJ$39,31,)</f>
        <v>0</v>
      </c>
      <c r="N120" s="75">
        <f>VLOOKUP($B86,[11]Complaints!$A$4:$AJ$39,31,)</f>
        <v>0</v>
      </c>
      <c r="O120" s="76">
        <f>VLOOKUP($B86,[12]Complaints!$A$4:$AJ$39,31,)</f>
        <v>0</v>
      </c>
      <c r="P120" s="77">
        <f t="shared" si="29"/>
        <v>0</v>
      </c>
      <c r="Q120" s="50" t="str">
        <f>IF(P120=0,"",P120/$P94)</f>
        <v/>
      </c>
      <c r="R120" s="18"/>
    </row>
    <row r="121" spans="1:19" ht="15.75" customHeight="1" x14ac:dyDescent="0.2">
      <c r="B121" s="146"/>
      <c r="C121" s="38" t="s">
        <v>113</v>
      </c>
      <c r="D121" s="66">
        <f>VLOOKUP($B86,[1]Complaints!$A$4:$AJ$39,32,)</f>
        <v>0</v>
      </c>
      <c r="E121" s="67">
        <f>VLOOKUP($B86,[2]Complaints!$A$4:$AJ$39,32,)</f>
        <v>0</v>
      </c>
      <c r="F121" s="67">
        <f>VLOOKUP($B86,[3]Complaints!$A$4:$AJ$39,32,)</f>
        <v>0</v>
      </c>
      <c r="G121" s="67">
        <f>VLOOKUP($B86,[4]Complaints!$A$4:$AJ$39,32,)</f>
        <v>0</v>
      </c>
      <c r="H121" s="67">
        <f>VLOOKUP($B86,[5]Complaints!$A$4:$AJ$39,32,)</f>
        <v>0</v>
      </c>
      <c r="I121" s="67">
        <f>VLOOKUP($B86,[6]Complaints!$A$4:$AJ$39,32,)</f>
        <v>0</v>
      </c>
      <c r="J121" s="67">
        <f>VLOOKUP($B86,[7]Complaints!$A$4:$AJ$39,32,)</f>
        <v>0</v>
      </c>
      <c r="K121" s="67">
        <f>VLOOKUP($B86,[8]Complaints!$A$4:$AJ$39,32,)</f>
        <v>0</v>
      </c>
      <c r="L121" s="67">
        <f>VLOOKUP($B86,[9]Complaints!$A$4:$AJ$39,32,)</f>
        <v>0</v>
      </c>
      <c r="M121" s="67">
        <f>VLOOKUP($B86,[10]Complaints!$A$4:$AJ$39,32,)</f>
        <v>0</v>
      </c>
      <c r="N121" s="67">
        <f>VLOOKUP($B86,[11]Complaints!$A$4:$AJ$39,32,)</f>
        <v>0</v>
      </c>
      <c r="O121" s="68">
        <f>VLOOKUP($B86,[12]Complaints!$A$4:$AJ$39,32,)</f>
        <v>0</v>
      </c>
      <c r="P121" s="69">
        <f t="shared" si="29"/>
        <v>0</v>
      </c>
      <c r="Q121" s="70"/>
      <c r="R121" s="18"/>
    </row>
    <row r="122" spans="1:19" ht="15.75" customHeight="1" x14ac:dyDescent="0.2">
      <c r="B122" s="146"/>
      <c r="C122" s="38" t="s">
        <v>114</v>
      </c>
      <c r="D122" s="66">
        <f>VLOOKUP($B86,[1]Complaints!$A$4:$AJ$39,33,)</f>
        <v>0</v>
      </c>
      <c r="E122" s="67">
        <f>VLOOKUP($B86,[2]Complaints!$A$4:$AJ$39,33,)</f>
        <v>0</v>
      </c>
      <c r="F122" s="67">
        <f>VLOOKUP($B86,[3]Complaints!$A$4:$AJ$39,33,)</f>
        <v>0</v>
      </c>
      <c r="G122" s="67">
        <f>VLOOKUP($B86,[4]Complaints!$A$4:$AJ$39,33,)</f>
        <v>0</v>
      </c>
      <c r="H122" s="67">
        <f>VLOOKUP($B86,[5]Complaints!$A$4:$AJ$39,33,)</f>
        <v>0</v>
      </c>
      <c r="I122" s="67">
        <f>VLOOKUP($B86,[6]Complaints!$A$4:$AJ$39,33,)</f>
        <v>0</v>
      </c>
      <c r="J122" s="67">
        <f>VLOOKUP($B86,[7]Complaints!$A$4:$AJ$39,33,)</f>
        <v>0</v>
      </c>
      <c r="K122" s="67">
        <f>VLOOKUP($B86,[8]Complaints!$A$4:$AJ$39,33,)</f>
        <v>0</v>
      </c>
      <c r="L122" s="67">
        <f>VLOOKUP($B86,[9]Complaints!$A$4:$AJ$39,33,)</f>
        <v>0</v>
      </c>
      <c r="M122" s="67">
        <f>VLOOKUP($B86,[10]Complaints!$A$4:$AJ$39,33,)</f>
        <v>0</v>
      </c>
      <c r="N122" s="67">
        <f>VLOOKUP($B86,[11]Complaints!$A$4:$AJ$39,33,)</f>
        <v>0</v>
      </c>
      <c r="O122" s="68">
        <f>VLOOKUP($B86,[12]Complaints!$A$4:$AJ$39,33,)</f>
        <v>0</v>
      </c>
      <c r="P122" s="69">
        <f t="shared" si="29"/>
        <v>0</v>
      </c>
      <c r="Q122" s="70"/>
      <c r="R122" s="18"/>
    </row>
    <row r="123" spans="1:19" ht="15.75" customHeight="1" x14ac:dyDescent="0.2">
      <c r="B123" s="146"/>
      <c r="C123" s="38" t="s">
        <v>115</v>
      </c>
      <c r="D123" s="66">
        <f>VLOOKUP($B86,[1]Complaints!$A$4:$AJ$39,34,)</f>
        <v>0</v>
      </c>
      <c r="E123" s="67">
        <f>VLOOKUP($B86,[2]Complaints!$A$4:$AJ$39,34,)</f>
        <v>0</v>
      </c>
      <c r="F123" s="67">
        <f>VLOOKUP($B86,[3]Complaints!$A$4:$AJ$39,34,)</f>
        <v>0</v>
      </c>
      <c r="G123" s="67">
        <f>VLOOKUP($B86,[4]Complaints!$A$4:$AJ$39,34,)</f>
        <v>0</v>
      </c>
      <c r="H123" s="67">
        <f>VLOOKUP($B86,[5]Complaints!$A$4:$AJ$39,34,)</f>
        <v>0</v>
      </c>
      <c r="I123" s="67">
        <f>VLOOKUP($B86,[6]Complaints!$A$4:$AJ$39,34,)</f>
        <v>0</v>
      </c>
      <c r="J123" s="67">
        <f>VLOOKUP($B86,[7]Complaints!$A$4:$AJ$39,34,)</f>
        <v>0</v>
      </c>
      <c r="K123" s="67">
        <f>VLOOKUP($B86,[8]Complaints!$A$4:$AJ$39,34,)</f>
        <v>0</v>
      </c>
      <c r="L123" s="67">
        <f>VLOOKUP($B86,[9]Complaints!$A$4:$AJ$39,34,)</f>
        <v>0</v>
      </c>
      <c r="M123" s="67">
        <f>VLOOKUP($B86,[10]Complaints!$A$4:$AJ$39,34,)</f>
        <v>0</v>
      </c>
      <c r="N123" s="67">
        <f>VLOOKUP($B86,[11]Complaints!$A$4:$AJ$39,34,)</f>
        <v>0</v>
      </c>
      <c r="O123" s="68">
        <f>VLOOKUP($B86,[12]Complaints!$A$4:$AJ$39,34,)</f>
        <v>0</v>
      </c>
      <c r="P123" s="69">
        <f t="shared" si="29"/>
        <v>0</v>
      </c>
      <c r="Q123" s="70"/>
      <c r="R123" s="18"/>
    </row>
    <row r="124" spans="1:19" ht="15.75" customHeight="1" x14ac:dyDescent="0.2">
      <c r="B124" s="146"/>
      <c r="C124" s="38" t="s">
        <v>116</v>
      </c>
      <c r="D124" s="66">
        <f>VLOOKUP($B86,[1]Complaints!$A$4:$AJ$39,35,)</f>
        <v>0</v>
      </c>
      <c r="E124" s="67">
        <f>VLOOKUP($B86,[2]Complaints!$A$4:$AJ$39,35,)</f>
        <v>0</v>
      </c>
      <c r="F124" s="67">
        <f>VLOOKUP($B86,[3]Complaints!$A$4:$AJ$39,35,)</f>
        <v>0</v>
      </c>
      <c r="G124" s="67">
        <f>VLOOKUP($B86,[4]Complaints!$A$4:$AJ$39,35,)</f>
        <v>0</v>
      </c>
      <c r="H124" s="67">
        <f>VLOOKUP($B86,[5]Complaints!$A$4:$AJ$39,35,)</f>
        <v>0</v>
      </c>
      <c r="I124" s="67">
        <f>VLOOKUP($B86,[6]Complaints!$A$4:$AJ$39,35,)</f>
        <v>0</v>
      </c>
      <c r="J124" s="67">
        <f>VLOOKUP($B86,[7]Complaints!$A$4:$AJ$39,35,)</f>
        <v>0</v>
      </c>
      <c r="K124" s="67">
        <f>VLOOKUP($B86,[8]Complaints!$A$4:$AJ$39,35,)</f>
        <v>0</v>
      </c>
      <c r="L124" s="67">
        <f>VLOOKUP($B86,[9]Complaints!$A$4:$AJ$39,35,)</f>
        <v>0</v>
      </c>
      <c r="M124" s="67">
        <f>VLOOKUP($B86,[10]Complaints!$A$4:$AJ$39,35,)</f>
        <v>0</v>
      </c>
      <c r="N124" s="67">
        <f>VLOOKUP($B86,[11]Complaints!$A$4:$AJ$39,35,)</f>
        <v>0</v>
      </c>
      <c r="O124" s="68">
        <f>VLOOKUP($B86,[12]Complaints!$A$4:$AJ$39,35,)</f>
        <v>0</v>
      </c>
      <c r="P124" s="69">
        <f t="shared" si="29"/>
        <v>0</v>
      </c>
      <c r="Q124" s="70"/>
      <c r="R124" s="18"/>
    </row>
    <row r="125" spans="1:19" ht="15.75" customHeight="1" thickBot="1" x14ac:dyDescent="0.25">
      <c r="B125" s="147"/>
      <c r="C125" s="41" t="s">
        <v>117</v>
      </c>
      <c r="D125" s="78">
        <f>VLOOKUP($B86,[1]Complaints!$A$4:$AJ$39,36,)</f>
        <v>0</v>
      </c>
      <c r="E125" s="79">
        <f>VLOOKUP($B86,[2]Complaints!$A$4:$AJ$39,36,)</f>
        <v>0</v>
      </c>
      <c r="F125" s="79">
        <f>VLOOKUP($B86,[3]Complaints!$A$4:$AJ$39,36,)</f>
        <v>0</v>
      </c>
      <c r="G125" s="79">
        <f>VLOOKUP($B86,[4]Complaints!$A$4:$AJ$39,36,)</f>
        <v>0</v>
      </c>
      <c r="H125" s="79">
        <f>VLOOKUP($B86,[5]Complaints!$A$4:$AJ$39,36,)</f>
        <v>0</v>
      </c>
      <c r="I125" s="79">
        <f>VLOOKUP($B86,[6]Complaints!$A$4:$AJ$39,36,)</f>
        <v>0</v>
      </c>
      <c r="J125" s="79">
        <f>VLOOKUP($B86,[7]Complaints!$A$4:$AJ$39,36,)</f>
        <v>0</v>
      </c>
      <c r="K125" s="79">
        <f>VLOOKUP($B86,[8]Complaints!$A$4:$AJ$39,36,)</f>
        <v>0</v>
      </c>
      <c r="L125" s="79">
        <f>VLOOKUP($B86,[9]Complaints!$A$4:$AJ$39,36,)</f>
        <v>0</v>
      </c>
      <c r="M125" s="79">
        <f>VLOOKUP($B86,[10]Complaints!$A$4:$AJ$39,36,)</f>
        <v>0</v>
      </c>
      <c r="N125" s="79">
        <f>VLOOKUP($B86,[11]Complaints!$A$4:$AJ$39,36,)</f>
        <v>0</v>
      </c>
      <c r="O125" s="80">
        <f>VLOOKUP($B86,[12]Complaints!$A$4:$AJ$39,36,)</f>
        <v>0</v>
      </c>
      <c r="P125" s="81">
        <f t="shared" si="29"/>
        <v>0</v>
      </c>
      <c r="Q125" s="82"/>
      <c r="R125" s="18"/>
    </row>
    <row r="126" spans="1:19" s="19" customFormat="1" ht="15.75" customHeight="1" thickBot="1" x14ac:dyDescent="0.25">
      <c r="B126" s="18"/>
      <c r="C126" s="18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S126" s="18"/>
    </row>
    <row r="127" spans="1:19" ht="15.75" customHeight="1" x14ac:dyDescent="0.25">
      <c r="B127" s="158" t="s">
        <v>15</v>
      </c>
      <c r="C127" s="159"/>
      <c r="D127" s="32" t="s">
        <v>0</v>
      </c>
      <c r="E127" s="20" t="s">
        <v>1</v>
      </c>
      <c r="F127" s="20" t="s">
        <v>2</v>
      </c>
      <c r="G127" s="20" t="s">
        <v>3</v>
      </c>
      <c r="H127" s="20" t="s">
        <v>4</v>
      </c>
      <c r="I127" s="20" t="s">
        <v>5</v>
      </c>
      <c r="J127" s="20" t="s">
        <v>6</v>
      </c>
      <c r="K127" s="20" t="s">
        <v>7</v>
      </c>
      <c r="L127" s="20" t="s">
        <v>8</v>
      </c>
      <c r="M127" s="20" t="s">
        <v>9</v>
      </c>
      <c r="N127" s="20" t="s">
        <v>10</v>
      </c>
      <c r="O127" s="33" t="s">
        <v>11</v>
      </c>
      <c r="P127" s="35" t="s">
        <v>12</v>
      </c>
      <c r="Q127" s="160" t="s">
        <v>104</v>
      </c>
      <c r="R127" s="18"/>
    </row>
    <row r="128" spans="1:19" ht="15.75" customHeight="1" thickBot="1" x14ac:dyDescent="0.3">
      <c r="B128" s="162" t="s">
        <v>72</v>
      </c>
      <c r="C128" s="163"/>
      <c r="D128" s="34">
        <v>2020</v>
      </c>
      <c r="E128" s="34">
        <v>2020</v>
      </c>
      <c r="F128" s="34">
        <v>2020</v>
      </c>
      <c r="G128" s="34">
        <v>2020</v>
      </c>
      <c r="H128" s="34">
        <v>2020</v>
      </c>
      <c r="I128" s="34">
        <v>2020</v>
      </c>
      <c r="J128" s="34">
        <v>2020</v>
      </c>
      <c r="K128" s="34">
        <v>2020</v>
      </c>
      <c r="L128" s="34">
        <v>2020</v>
      </c>
      <c r="M128" s="25">
        <v>2021</v>
      </c>
      <c r="N128" s="25">
        <v>2021</v>
      </c>
      <c r="O128" s="25">
        <v>2021</v>
      </c>
      <c r="P128" s="36" t="s">
        <v>122</v>
      </c>
      <c r="Q128" s="161"/>
      <c r="R128" s="18"/>
    </row>
    <row r="129" spans="2:18" ht="12.75" customHeight="1" thickBot="1" x14ac:dyDescent="0.25">
      <c r="B129" s="164" t="s">
        <v>38</v>
      </c>
      <c r="C129" s="165"/>
      <c r="D129" s="42">
        <f>VLOOKUP($B128,[1]Complaints!$A$4:$AJ$39,2,)</f>
        <v>303</v>
      </c>
      <c r="E129" s="43">
        <f>VLOOKUP($B128,[2]Complaints!$A$4:$AJ$39,2,)</f>
        <v>428</v>
      </c>
      <c r="F129" s="43">
        <f>VLOOKUP($B128,[3]Complaints!$A$4:$AJ$39,2)</f>
        <v>667</v>
      </c>
      <c r="G129" s="43">
        <f>VLOOKUP($B128,[4]Complaints!$A$4:$AJ$39,2)</f>
        <v>1071</v>
      </c>
      <c r="H129" s="43">
        <f>VLOOKUP($B128,[5]Complaints!$A$4:$AJ$39,2)</f>
        <v>1323</v>
      </c>
      <c r="I129" s="43">
        <f>VLOOKUP($B128,[6]Complaints!$A$4:$AJ$39,2)</f>
        <v>1567</v>
      </c>
      <c r="J129" s="43">
        <f>VLOOKUP($B128,[7]Complaints!$A$4:$AJ$39,2)</f>
        <v>1524</v>
      </c>
      <c r="K129" s="43">
        <f>VLOOKUP($B128,[8]Complaints!$A$4:$AJ$39,2)</f>
        <v>1524</v>
      </c>
      <c r="L129" s="43">
        <f>VLOOKUP($B128,[9]Complaints!$A$4:$AJ$39,2)</f>
        <v>1460</v>
      </c>
      <c r="M129" s="43">
        <f>VLOOKUP($B128,[10]Complaints!$A$4:$AJ$39,2)</f>
        <v>1174</v>
      </c>
      <c r="N129" s="43">
        <f>VLOOKUP($B128,[11]Complaints!$A$4:$AJ$39,2)</f>
        <v>0</v>
      </c>
      <c r="O129" s="44">
        <f>VLOOKUP($B128,[12]Complaints!$A$4:$AJ$39,2)</f>
        <v>0</v>
      </c>
      <c r="P129" s="45">
        <f>SUM(D129:O129)</f>
        <v>11041</v>
      </c>
      <c r="Q129" s="46"/>
      <c r="R129" s="18"/>
    </row>
    <row r="130" spans="2:18" ht="15.75" customHeight="1" x14ac:dyDescent="0.2">
      <c r="B130" s="166" t="s">
        <v>94</v>
      </c>
      <c r="C130" s="167"/>
      <c r="D130" s="47">
        <f>VLOOKUP($B128,[1]Complaints!$A$4:$AF$39,3,)</f>
        <v>0</v>
      </c>
      <c r="E130" s="48">
        <f>VLOOKUP($B128,[2]Complaints!$A$4:$AF$39,3,)</f>
        <v>2</v>
      </c>
      <c r="F130" s="48">
        <f>VLOOKUP($B128,[3]Complaints!$A$4:$AG$39,3,)</f>
        <v>2</v>
      </c>
      <c r="G130" s="48">
        <f>VLOOKUP($B128,[4]Complaints!$A$4:$AG$39,3,)</f>
        <v>0</v>
      </c>
      <c r="H130" s="48">
        <f>VLOOKUP($B128,[5]Complaints!$A$4:$AG$39,3,)</f>
        <v>1</v>
      </c>
      <c r="I130" s="48">
        <f>VLOOKUP($B128,[6]Complaints!$A$4:$AG$39,3,)</f>
        <v>4</v>
      </c>
      <c r="J130" s="48">
        <f>VLOOKUP($B128,[7]Complaints!$A$4:$AG$39,3,)</f>
        <v>2</v>
      </c>
      <c r="K130" s="48">
        <f>VLOOKUP($B128,[8]Complaints!$A$4:$AG$39,3,)</f>
        <v>2</v>
      </c>
      <c r="L130" s="48">
        <f>VLOOKUP($B128,[9]Complaints!$A$4:$AG$39,3,)</f>
        <v>0</v>
      </c>
      <c r="M130" s="48">
        <f>VLOOKUP($B128,[10]Complaints!$A$4:$AG$39,3,)</f>
        <v>3</v>
      </c>
      <c r="N130" s="48">
        <f>VLOOKUP($B128,[11]Complaints!$A$4:$AG$39,3,)</f>
        <v>0</v>
      </c>
      <c r="O130" s="49">
        <f>VLOOKUP($B128,[12]Complaints!$A$4:$AG$39,3,)</f>
        <v>0</v>
      </c>
      <c r="P130" s="45">
        <f>SUM(D130:O130)</f>
        <v>16</v>
      </c>
      <c r="Q130" s="50"/>
      <c r="R130" s="18"/>
    </row>
    <row r="131" spans="2:18" ht="15.75" customHeight="1" x14ac:dyDescent="0.2">
      <c r="B131" s="26"/>
      <c r="C131" s="28" t="s">
        <v>102</v>
      </c>
      <c r="D131" s="51">
        <f>IF(D129=0,"",D130/D129)</f>
        <v>0</v>
      </c>
      <c r="E131" s="52">
        <f t="shared" ref="E131:O131" si="30">IF(E129=0,"",E130/E129)</f>
        <v>4.6728971962616819E-3</v>
      </c>
      <c r="F131" s="52">
        <f t="shared" si="30"/>
        <v>2.9985007496251873E-3</v>
      </c>
      <c r="G131" s="52">
        <f t="shared" si="30"/>
        <v>0</v>
      </c>
      <c r="H131" s="52">
        <f t="shared" si="30"/>
        <v>7.5585789871504159E-4</v>
      </c>
      <c r="I131" s="52">
        <f t="shared" si="30"/>
        <v>2.5526483726866626E-3</v>
      </c>
      <c r="J131" s="52">
        <f t="shared" si="30"/>
        <v>1.3123359580052493E-3</v>
      </c>
      <c r="K131" s="52">
        <f t="shared" si="30"/>
        <v>1.3123359580052493E-3</v>
      </c>
      <c r="L131" s="52">
        <f t="shared" si="30"/>
        <v>0</v>
      </c>
      <c r="M131" s="52">
        <f t="shared" si="30"/>
        <v>2.5553662691652468E-3</v>
      </c>
      <c r="N131" s="52" t="str">
        <f t="shared" si="30"/>
        <v/>
      </c>
      <c r="O131" s="53" t="str">
        <f t="shared" si="30"/>
        <v/>
      </c>
      <c r="P131" s="54">
        <f>IF(P130="","",P130/P129)</f>
        <v>1.4491440992663708E-3</v>
      </c>
      <c r="Q131" s="50"/>
      <c r="R131" s="18"/>
    </row>
    <row r="132" spans="2:18" s="21" customFormat="1" ht="15.75" customHeight="1" x14ac:dyDescent="0.2">
      <c r="B132" s="155" t="s">
        <v>95</v>
      </c>
      <c r="C132" s="156"/>
      <c r="D132" s="47">
        <f>VLOOKUP($B128,[1]Complaints!$A$4:$AF$39,4,)</f>
        <v>0</v>
      </c>
      <c r="E132" s="48">
        <f>VLOOKUP($B128,[2]Complaints!$A$4:$AF$39,4,)</f>
        <v>1</v>
      </c>
      <c r="F132" s="48">
        <f>VLOOKUP($B128,[3]Complaints!$A$4:$AG$39,4,)</f>
        <v>1</v>
      </c>
      <c r="G132" s="48">
        <f>VLOOKUP($B128,[4]Complaints!$A$4:$AG$39,4,)</f>
        <v>0</v>
      </c>
      <c r="H132" s="48">
        <f>VLOOKUP($B128,[5]Complaints!$A$4:$AG$39,4,)</f>
        <v>0</v>
      </c>
      <c r="I132" s="48">
        <f>VLOOKUP($B128,[6]Complaints!$A$4:$AG$39,4,)</f>
        <v>3</v>
      </c>
      <c r="J132" s="48">
        <f>VLOOKUP($B128,[7]Complaints!$A$4:$AG$39,4,)</f>
        <v>0</v>
      </c>
      <c r="K132" s="48">
        <f>VLOOKUP($B128,[8]Complaints!$A$4:$AG$39,4,)</f>
        <v>0</v>
      </c>
      <c r="L132" s="48">
        <f>VLOOKUP($B128,[9]Complaints!$A$4:$AG$39,4,)</f>
        <v>0</v>
      </c>
      <c r="M132" s="48">
        <f>VLOOKUP($B128,[10]Complaints!$A$4:$AG$39,4,)</f>
        <v>1</v>
      </c>
      <c r="N132" s="48">
        <f>VLOOKUP($B128,[11]Complaints!$A$4:$AG$39,4,)</f>
        <v>0</v>
      </c>
      <c r="O132" s="49">
        <f>VLOOKUP($B128,[12]Complaints!$A$4:$AG$39,4,)</f>
        <v>0</v>
      </c>
      <c r="P132" s="55">
        <f t="shared" ref="P132" si="31">SUM(D132:O132)</f>
        <v>6</v>
      </c>
      <c r="Q132" s="50"/>
    </row>
    <row r="133" spans="2:18" ht="15.75" customHeight="1" x14ac:dyDescent="0.2">
      <c r="B133" s="26"/>
      <c r="C133" s="28" t="s">
        <v>98</v>
      </c>
      <c r="D133" s="51">
        <f>IF(D129=0,"",D132/D129)</f>
        <v>0</v>
      </c>
      <c r="E133" s="52">
        <f t="shared" ref="E133:O133" si="32">IF(E129=0,"",E132/E129)</f>
        <v>2.3364485981308409E-3</v>
      </c>
      <c r="F133" s="52">
        <f t="shared" si="32"/>
        <v>1.4992503748125937E-3</v>
      </c>
      <c r="G133" s="52">
        <f t="shared" si="32"/>
        <v>0</v>
      </c>
      <c r="H133" s="52">
        <f t="shared" si="32"/>
        <v>0</v>
      </c>
      <c r="I133" s="52">
        <f t="shared" si="32"/>
        <v>1.9144862795149968E-3</v>
      </c>
      <c r="J133" s="52">
        <f t="shared" si="32"/>
        <v>0</v>
      </c>
      <c r="K133" s="52">
        <f t="shared" si="32"/>
        <v>0</v>
      </c>
      <c r="L133" s="52">
        <f t="shared" si="32"/>
        <v>0</v>
      </c>
      <c r="M133" s="52">
        <f t="shared" si="32"/>
        <v>8.5178875638841568E-4</v>
      </c>
      <c r="N133" s="52" t="str">
        <f t="shared" si="32"/>
        <v/>
      </c>
      <c r="O133" s="53" t="str">
        <f t="shared" si="32"/>
        <v/>
      </c>
      <c r="P133" s="54">
        <f>IF(P132="","",P132/P129)</f>
        <v>5.4342903722488908E-4</v>
      </c>
      <c r="Q133" s="50"/>
      <c r="R133" s="18"/>
    </row>
    <row r="134" spans="2:18" ht="15.75" customHeight="1" x14ac:dyDescent="0.2">
      <c r="B134" s="155" t="s">
        <v>96</v>
      </c>
      <c r="C134" s="156"/>
      <c r="D134" s="47">
        <f>VLOOKUP($B128,[1]Complaints!$A$4:$AF$39,5,)</f>
        <v>0</v>
      </c>
      <c r="E134" s="48">
        <f>VLOOKUP($B128,[2]Complaints!$A$4:$AF$39,5,)</f>
        <v>1</v>
      </c>
      <c r="F134" s="48">
        <f>VLOOKUP($B128,[3]Complaints!$A$4:$AG$39,5,)</f>
        <v>1</v>
      </c>
      <c r="G134" s="48">
        <f>VLOOKUP($B128,[4]Complaints!$A$4:$AG$39,5,)</f>
        <v>0</v>
      </c>
      <c r="H134" s="48">
        <f>VLOOKUP($B128,[5]Complaints!$A$4:$AG$39,5,)</f>
        <v>1</v>
      </c>
      <c r="I134" s="48">
        <f>VLOOKUP($B128,[6]Complaints!$A$4:$AG$39,5,)</f>
        <v>1</v>
      </c>
      <c r="J134" s="48">
        <f>VLOOKUP($B128,[7]Complaints!$A$4:$AG$39,5,)</f>
        <v>2</v>
      </c>
      <c r="K134" s="48">
        <f>VLOOKUP($B128,[8]Complaints!$A$4:$AG$39,5,)</f>
        <v>2</v>
      </c>
      <c r="L134" s="48">
        <f>VLOOKUP($B128,[9]Complaints!$A$4:$AG$39,5,)</f>
        <v>0</v>
      </c>
      <c r="M134" s="48">
        <f>VLOOKUP($B128,[10]Complaints!$A$4:$AG$39,5,)</f>
        <v>2</v>
      </c>
      <c r="N134" s="48">
        <f>VLOOKUP($B128,[11]Complaints!$A$4:$AG$39,5,)</f>
        <v>0</v>
      </c>
      <c r="O134" s="49">
        <f>VLOOKUP($B128,[12]Complaints!$A$4:$AG$39,5,)</f>
        <v>0</v>
      </c>
      <c r="P134" s="55">
        <f t="shared" ref="P134" si="33">SUM(D134:O134)</f>
        <v>10</v>
      </c>
      <c r="Q134" s="50"/>
      <c r="R134" s="18"/>
    </row>
    <row r="135" spans="2:18" ht="15.75" customHeight="1" x14ac:dyDescent="0.2">
      <c r="B135" s="26"/>
      <c r="C135" s="28" t="s">
        <v>99</v>
      </c>
      <c r="D135" s="51">
        <f>IF(D129=0,"",D134/D129)</f>
        <v>0</v>
      </c>
      <c r="E135" s="52">
        <f t="shared" ref="E135:O135" si="34">IF(E129=0,"",E134/E129)</f>
        <v>2.3364485981308409E-3</v>
      </c>
      <c r="F135" s="52">
        <f t="shared" si="34"/>
        <v>1.4992503748125937E-3</v>
      </c>
      <c r="G135" s="52">
        <f t="shared" si="34"/>
        <v>0</v>
      </c>
      <c r="H135" s="52">
        <f t="shared" si="34"/>
        <v>7.5585789871504159E-4</v>
      </c>
      <c r="I135" s="52">
        <f t="shared" si="34"/>
        <v>6.3816209317166565E-4</v>
      </c>
      <c r="J135" s="52">
        <f t="shared" si="34"/>
        <v>1.3123359580052493E-3</v>
      </c>
      <c r="K135" s="52">
        <f t="shared" si="34"/>
        <v>1.3123359580052493E-3</v>
      </c>
      <c r="L135" s="52">
        <f t="shared" si="34"/>
        <v>0</v>
      </c>
      <c r="M135" s="52">
        <f t="shared" si="34"/>
        <v>1.7035775127768314E-3</v>
      </c>
      <c r="N135" s="52" t="str">
        <f t="shared" si="34"/>
        <v/>
      </c>
      <c r="O135" s="53" t="str">
        <f t="shared" si="34"/>
        <v/>
      </c>
      <c r="P135" s="54">
        <f>IF(P134="","",P134/P129)</f>
        <v>9.0571506204148173E-4</v>
      </c>
      <c r="Q135" s="50"/>
      <c r="R135" s="18"/>
    </row>
    <row r="136" spans="2:18" ht="15.75" customHeight="1" x14ac:dyDescent="0.2">
      <c r="B136" s="157" t="s">
        <v>97</v>
      </c>
      <c r="C136" s="156"/>
      <c r="D136" s="47">
        <f>VLOOKUP($B128,[1]Complaints!$A$4:$AF$39,6,)</f>
        <v>0</v>
      </c>
      <c r="E136" s="48">
        <f>VLOOKUP($B128,[2]Complaints!$A$4:$AF$39,6,)</f>
        <v>2</v>
      </c>
      <c r="F136" s="48">
        <f>VLOOKUP($B128,[3]Complaints!$A$4:$AG$39,6,)</f>
        <v>1</v>
      </c>
      <c r="G136" s="48">
        <f>VLOOKUP($B128,[4]Complaints!$A$4:$AG$39,6,)</f>
        <v>0</v>
      </c>
      <c r="H136" s="48">
        <f>VLOOKUP($B128,[5]Complaints!$A$4:$AG$39,6,)</f>
        <v>1</v>
      </c>
      <c r="I136" s="48">
        <f>VLOOKUP($B128,[6]Complaints!$A$4:$AG$39,6,)</f>
        <v>1</v>
      </c>
      <c r="J136" s="48">
        <f>VLOOKUP($B128,[7]Complaints!$A$4:$AG$39,6,)</f>
        <v>0</v>
      </c>
      <c r="K136" s="48">
        <f>VLOOKUP($B128,[8]Complaints!$A$4:$AG$39,6,)</f>
        <v>0</v>
      </c>
      <c r="L136" s="48">
        <f>VLOOKUP($B128,[9]Complaints!$A$4:$AG$39,6,)</f>
        <v>0</v>
      </c>
      <c r="M136" s="48">
        <f>VLOOKUP($B128,[10]Complaints!$A$4:$AG$39,6,)</f>
        <v>1</v>
      </c>
      <c r="N136" s="48">
        <f>VLOOKUP($B128,[11]Complaints!$A$4:$AG$39,6,)</f>
        <v>0</v>
      </c>
      <c r="O136" s="49">
        <f>VLOOKUP($B128,[12]Complaints!$A$4:$AG$39,6,)</f>
        <v>0</v>
      </c>
      <c r="P136" s="55">
        <f t="shared" ref="P136" si="35">SUM(D136:O136)</f>
        <v>6</v>
      </c>
      <c r="Q136" s="50"/>
      <c r="R136" s="18"/>
    </row>
    <row r="137" spans="2:18" ht="15.75" customHeight="1" thickBot="1" x14ac:dyDescent="0.25">
      <c r="B137" s="27"/>
      <c r="C137" s="29" t="s">
        <v>100</v>
      </c>
      <c r="D137" s="56" t="str">
        <f>IF(D136=0,"",D136/D134)</f>
        <v/>
      </c>
      <c r="E137" s="57">
        <f t="shared" ref="E137:H137" si="36">IF(E136=0,"",E136/E134)</f>
        <v>2</v>
      </c>
      <c r="F137" s="57">
        <f t="shared" si="36"/>
        <v>1</v>
      </c>
      <c r="G137" s="57" t="str">
        <f t="shared" si="36"/>
        <v/>
      </c>
      <c r="H137" s="57">
        <f t="shared" si="36"/>
        <v>1</v>
      </c>
      <c r="I137" s="57">
        <f>IF(I136=0,"",I136/I134)</f>
        <v>1</v>
      </c>
      <c r="J137" s="57" t="str">
        <f t="shared" ref="J137:O137" si="37">IF(J136=0,"",J136/J134)</f>
        <v/>
      </c>
      <c r="K137" s="57" t="str">
        <f t="shared" si="37"/>
        <v/>
      </c>
      <c r="L137" s="57" t="str">
        <f t="shared" si="37"/>
        <v/>
      </c>
      <c r="M137" s="57">
        <f t="shared" si="37"/>
        <v>0.5</v>
      </c>
      <c r="N137" s="57" t="str">
        <f t="shared" si="37"/>
        <v/>
      </c>
      <c r="O137" s="58" t="str">
        <f t="shared" si="37"/>
        <v/>
      </c>
      <c r="P137" s="59">
        <f>IF(P136=0,"",P136/P134)</f>
        <v>0.6</v>
      </c>
      <c r="Q137" s="60"/>
      <c r="R137" s="18"/>
    </row>
    <row r="138" spans="2:18" ht="15.75" customHeight="1" x14ac:dyDescent="0.2">
      <c r="B138" s="168" t="s">
        <v>103</v>
      </c>
      <c r="C138" s="30" t="s">
        <v>77</v>
      </c>
      <c r="D138" s="61">
        <f>VLOOKUP($B128,[1]Complaints!$A$4:$AJ$39,7,)</f>
        <v>0</v>
      </c>
      <c r="E138" s="43">
        <f>VLOOKUP($B128,[2]Complaints!$A$4:$AJ$39,7,)</f>
        <v>0</v>
      </c>
      <c r="F138" s="43">
        <f>VLOOKUP($B128,[3]Complaints!$A$4:$AJ$39,7,)</f>
        <v>0</v>
      </c>
      <c r="G138" s="43">
        <f>VLOOKUP($B128,[4]Complaints!$A$4:$AJ$39,7,)</f>
        <v>0</v>
      </c>
      <c r="H138" s="43">
        <f>VLOOKUP($B128,[5]Complaints!$A$4:$AJ$39,7,)</f>
        <v>0</v>
      </c>
      <c r="I138" s="43">
        <f>VLOOKUP($B128,[6]Complaints!$A$4:$AJ$39,7,)</f>
        <v>0</v>
      </c>
      <c r="J138" s="43">
        <f>VLOOKUP($B128,[7]Complaints!$A$4:$AJ$39,7,)</f>
        <v>0</v>
      </c>
      <c r="K138" s="43">
        <f>VLOOKUP($B128,[8]Complaints!$A$4:$AJ$39,7,)</f>
        <v>0</v>
      </c>
      <c r="L138" s="43">
        <f>VLOOKUP($B128,[9]Complaints!$A$4:$AJ$39,7,)</f>
        <v>0</v>
      </c>
      <c r="M138" s="43">
        <f>VLOOKUP($B128,[10]Complaints!$A$4:$AJ$39,7,)</f>
        <v>0</v>
      </c>
      <c r="N138" s="43">
        <f>VLOOKUP($B128,[11]Complaints!$A$4:$AJ$39,7,)</f>
        <v>0</v>
      </c>
      <c r="O138" s="44">
        <f>VLOOKUP($B128,[12]Complaints!$A$4:$AJ$39,7,)</f>
        <v>0</v>
      </c>
      <c r="P138" s="45">
        <f>SUM(D138:O138)</f>
        <v>0</v>
      </c>
      <c r="Q138" s="46" t="str">
        <f>IF(P138=0,"",P138/$P130)</f>
        <v/>
      </c>
      <c r="R138" s="18"/>
    </row>
    <row r="139" spans="2:18" ht="15.75" customHeight="1" x14ac:dyDescent="0.2">
      <c r="B139" s="169"/>
      <c r="C139" s="31" t="s">
        <v>89</v>
      </c>
      <c r="D139" s="47">
        <f>VLOOKUP($B128,[1]Complaints!$A$4:$AJ$39,8,)</f>
        <v>0</v>
      </c>
      <c r="E139" s="48">
        <f>VLOOKUP($B128,[2]Complaints!$A$4:$AJ$39,8,)</f>
        <v>0</v>
      </c>
      <c r="F139" s="48">
        <f>VLOOKUP($B128,[3]Complaints!$A$4:$AJ$39,8,)</f>
        <v>0</v>
      </c>
      <c r="G139" s="48">
        <f>VLOOKUP($B128,[4]Complaints!$A$4:$AJ$39,8,)</f>
        <v>0</v>
      </c>
      <c r="H139" s="48">
        <f>VLOOKUP($B128,[5]Complaints!$A$4:$AJ$39,8,)</f>
        <v>0</v>
      </c>
      <c r="I139" s="48">
        <f>VLOOKUP($B128,[6]Complaints!$A$4:$AJ$39,8,)</f>
        <v>1</v>
      </c>
      <c r="J139" s="48">
        <f>VLOOKUP($B128,[7]Complaints!$A$4:$AJ$39,8,)</f>
        <v>1</v>
      </c>
      <c r="K139" s="48">
        <f>VLOOKUP($B128,[8]Complaints!$A$4:$AJ$39,8,)</f>
        <v>0</v>
      </c>
      <c r="L139" s="48">
        <f>VLOOKUP($B128,[9]Complaints!$A$4:$AJ$39,8,)</f>
        <v>0</v>
      </c>
      <c r="M139" s="48">
        <f>VLOOKUP($B128,[10]Complaints!$A$4:$AJ$39,8,)</f>
        <v>1</v>
      </c>
      <c r="N139" s="48">
        <f>VLOOKUP($B128,[11]Complaints!$A$4:$AJ$39,8,)</f>
        <v>0</v>
      </c>
      <c r="O139" s="49">
        <f>VLOOKUP($B128,[12]Complaints!$A$4:$AJ$39,8,)</f>
        <v>0</v>
      </c>
      <c r="P139" s="55">
        <f t="shared" ref="P139:P140" si="38">SUM(D139:O139)</f>
        <v>3</v>
      </c>
      <c r="Q139" s="50">
        <f>IF(P139="","",P139/$P130)</f>
        <v>0.1875</v>
      </c>
      <c r="R139" s="18"/>
    </row>
    <row r="140" spans="2:18" ht="15.75" customHeight="1" x14ac:dyDescent="0.2">
      <c r="B140" s="169"/>
      <c r="C140" s="31" t="s">
        <v>88</v>
      </c>
      <c r="D140" s="47">
        <f>VLOOKUP($B128,[1]Complaints!$A$4:$AJ$39,9,)</f>
        <v>0</v>
      </c>
      <c r="E140" s="48">
        <f>VLOOKUP($B128,[2]Complaints!$A$4:$AJ$39,9,)</f>
        <v>0</v>
      </c>
      <c r="F140" s="48">
        <f>VLOOKUP($B128,[3]Complaints!$A$4:$AJ$39,9,)</f>
        <v>0</v>
      </c>
      <c r="G140" s="48">
        <f>VLOOKUP($B128,[4]Complaints!$A$4:$AJ$39,9,)</f>
        <v>0</v>
      </c>
      <c r="H140" s="48">
        <f>VLOOKUP($B128,[5]Complaints!$A$4:$AJ$39,9,)</f>
        <v>0</v>
      </c>
      <c r="I140" s="48">
        <f>VLOOKUP($B128,[6]Complaints!$A$4:$AJ$39,9,)</f>
        <v>3</v>
      </c>
      <c r="J140" s="48">
        <f>VLOOKUP($B128,[7]Complaints!$A$4:$AJ$39,9,)</f>
        <v>0</v>
      </c>
      <c r="K140" s="48">
        <f>VLOOKUP($B128,[8]Complaints!$A$4:$AJ$39,9,)</f>
        <v>0</v>
      </c>
      <c r="L140" s="48">
        <f>VLOOKUP($B128,[9]Complaints!$A$4:$AJ$39,9,)</f>
        <v>0</v>
      </c>
      <c r="M140" s="48">
        <f>VLOOKUP($B128,[10]Complaints!$A$4:$AJ$39,9,)</f>
        <v>0</v>
      </c>
      <c r="N140" s="48">
        <f>VLOOKUP($B128,[11]Complaints!$A$4:$AJ$39,9,)</f>
        <v>0</v>
      </c>
      <c r="O140" s="49">
        <f>VLOOKUP($B128,[12]Complaints!$A$4:$AJ$39,9,)</f>
        <v>0</v>
      </c>
      <c r="P140" s="55">
        <f t="shared" si="38"/>
        <v>3</v>
      </c>
      <c r="Q140" s="50">
        <f>IF(P140=0,"",P140/$P130)</f>
        <v>0.1875</v>
      </c>
      <c r="R140" s="18"/>
    </row>
    <row r="141" spans="2:18" ht="15.75" customHeight="1" x14ac:dyDescent="0.2">
      <c r="B141" s="169"/>
      <c r="C141" s="31" t="s">
        <v>13</v>
      </c>
      <c r="D141" s="47">
        <f>VLOOKUP($B128,[1]Complaints!$A$4:$AJ$39,10,)</f>
        <v>0</v>
      </c>
      <c r="E141" s="48">
        <f>VLOOKUP($B128,[2]Complaints!$A$4:$AJ$39,10,)</f>
        <v>1</v>
      </c>
      <c r="F141" s="48">
        <f>VLOOKUP($B128,[3]Complaints!$A$4:$AJ$39,10,)</f>
        <v>1</v>
      </c>
      <c r="G141" s="48">
        <f>VLOOKUP($B128,[4]Complaints!$A$4:$AJ$39,10,)</f>
        <v>0</v>
      </c>
      <c r="H141" s="48">
        <f>VLOOKUP($B128,[5]Complaints!$A$4:$AJ$39,10,)</f>
        <v>0</v>
      </c>
      <c r="I141" s="48">
        <f>VLOOKUP($B128,[6]Complaints!$A$4:$AJ$39,10,)</f>
        <v>0</v>
      </c>
      <c r="J141" s="48">
        <f>VLOOKUP($B128,[7]Complaints!$A$4:$AJ$39,10,)</f>
        <v>0</v>
      </c>
      <c r="K141" s="48">
        <f>VLOOKUP($B128,[8]Complaints!$A$4:$AJ$39,10,)</f>
        <v>0</v>
      </c>
      <c r="L141" s="48">
        <f>VLOOKUP($B128,[9]Complaints!$A$4:$AJ$39,10,)</f>
        <v>0</v>
      </c>
      <c r="M141" s="48">
        <f>VLOOKUP($B128,[10]Complaints!$A$4:$AJ$39,10,)</f>
        <v>0</v>
      </c>
      <c r="N141" s="48">
        <f>VLOOKUP($B128,[11]Complaints!$A$4:$AJ$39,10,)</f>
        <v>0</v>
      </c>
      <c r="O141" s="49">
        <f>VLOOKUP($B128,[12]Complaints!$A$4:$AJ$39,10,)</f>
        <v>0</v>
      </c>
      <c r="P141" s="55">
        <f>SUM(D141:O141)</f>
        <v>2</v>
      </c>
      <c r="Q141" s="50">
        <f>IF(P141=0,"",P141/$P130)</f>
        <v>0.125</v>
      </c>
      <c r="R141" s="18"/>
    </row>
    <row r="142" spans="2:18" ht="15.75" customHeight="1" x14ac:dyDescent="0.2">
      <c r="B142" s="169"/>
      <c r="C142" s="31" t="s">
        <v>101</v>
      </c>
      <c r="D142" s="47">
        <f>VLOOKUP($B128,[1]Complaints!$A$4:$AJ$39,11,)</f>
        <v>0</v>
      </c>
      <c r="E142" s="48">
        <f>VLOOKUP($B128,[2]Complaints!$A$4:$AJ$39,11,)</f>
        <v>0</v>
      </c>
      <c r="F142" s="48">
        <f>VLOOKUP($B128,[3]Complaints!$A$4:$AJ$39,11,)</f>
        <v>0</v>
      </c>
      <c r="G142" s="48">
        <f>VLOOKUP($B128,[4]Complaints!$A$4:$AJ$39,11,)</f>
        <v>0</v>
      </c>
      <c r="H142" s="48">
        <f>VLOOKUP($B128,[5]Complaints!$A$4:$AJ$39,11,)</f>
        <v>0</v>
      </c>
      <c r="I142" s="48">
        <f>VLOOKUP($B128,[6]Complaints!$A$4:$AJ$39,11,)</f>
        <v>0</v>
      </c>
      <c r="J142" s="48">
        <f>VLOOKUP($B128,[7]Complaints!$A$4:$AJ$39,11,)</f>
        <v>0</v>
      </c>
      <c r="K142" s="48">
        <f>VLOOKUP($B128,[8]Complaints!$A$4:$AJ$39,11,)</f>
        <v>0</v>
      </c>
      <c r="L142" s="48">
        <f>VLOOKUP($B128,[9]Complaints!$A$4:$AJ$39,11,)</f>
        <v>0</v>
      </c>
      <c r="M142" s="48">
        <f>VLOOKUP($B128,[10]Complaints!$A$4:$AJ$39,11,)</f>
        <v>0</v>
      </c>
      <c r="N142" s="48">
        <f>VLOOKUP($B128,[11]Complaints!$A$4:$AJ$39,11,)</f>
        <v>0</v>
      </c>
      <c r="O142" s="49">
        <f>VLOOKUP($B128,[12]Complaints!$A$4:$AJ$39,11,)</f>
        <v>0</v>
      </c>
      <c r="P142" s="55">
        <f t="shared" ref="P142:P151" si="39">SUM(D142:O142)</f>
        <v>0</v>
      </c>
      <c r="Q142" s="50" t="str">
        <f>IF(P142=0,"",P142/$P130)</f>
        <v/>
      </c>
      <c r="R142" s="18"/>
    </row>
    <row r="143" spans="2:18" s="19" customFormat="1" ht="15.75" customHeight="1" x14ac:dyDescent="0.2">
      <c r="B143" s="169"/>
      <c r="C143" s="31" t="s">
        <v>93</v>
      </c>
      <c r="D143" s="47">
        <f>VLOOKUP($B128,[1]Complaints!$A$4:$AJ$39,12,)</f>
        <v>0</v>
      </c>
      <c r="E143" s="48">
        <f>VLOOKUP($B128,[2]Complaints!$A$4:$AJ$39,12,)</f>
        <v>0</v>
      </c>
      <c r="F143" s="48">
        <f>VLOOKUP($B128,[3]Complaints!$A$4:$AJ$39,12,)</f>
        <v>0</v>
      </c>
      <c r="G143" s="48">
        <f>VLOOKUP($B128,[4]Complaints!$A$4:$AJ$39,12,)</f>
        <v>0</v>
      </c>
      <c r="H143" s="48">
        <f>VLOOKUP($B128,[5]Complaints!$A$4:$AJ$39,12,)</f>
        <v>0</v>
      </c>
      <c r="I143" s="48">
        <f>VLOOKUP($B128,[6]Complaints!$A$4:$AJ$39,12,)</f>
        <v>0</v>
      </c>
      <c r="J143" s="48">
        <f>VLOOKUP($B128,[7]Complaints!$A$4:$AJ$39,12,)</f>
        <v>0</v>
      </c>
      <c r="K143" s="48">
        <f>VLOOKUP($B128,[8]Complaints!$A$4:$AJ$39,12,)</f>
        <v>0</v>
      </c>
      <c r="L143" s="48">
        <f>VLOOKUP($B128,[9]Complaints!$A$4:$AJ$39,12,)</f>
        <v>0</v>
      </c>
      <c r="M143" s="48">
        <f>VLOOKUP($B128,[10]Complaints!$A$4:$AJ$39,12,)</f>
        <v>1</v>
      </c>
      <c r="N143" s="48">
        <f>VLOOKUP($B128,[11]Complaints!$A$4:$AJ$39,12,)</f>
        <v>0</v>
      </c>
      <c r="O143" s="49">
        <f>VLOOKUP($B128,[12]Complaints!$A$4:$AJ$39,12,)</f>
        <v>0</v>
      </c>
      <c r="P143" s="55">
        <f t="shared" si="39"/>
        <v>1</v>
      </c>
      <c r="Q143" s="50">
        <f>IF(P143=0,"",P143/$P130)</f>
        <v>6.25E-2</v>
      </c>
    </row>
    <row r="144" spans="2:18" ht="15.75" customHeight="1" x14ac:dyDescent="0.2">
      <c r="B144" s="169"/>
      <c r="C144" s="31" t="s">
        <v>78</v>
      </c>
      <c r="D144" s="47">
        <f>VLOOKUP($B128,[1]Complaints!$A$4:$AJ$39,13,)</f>
        <v>0</v>
      </c>
      <c r="E144" s="48">
        <f>VLOOKUP($B128,[2]Complaints!$A$4:$AJ$39,13,)</f>
        <v>0</v>
      </c>
      <c r="F144" s="48">
        <f>VLOOKUP($B128,[3]Complaints!$A$4:$AJ$39,13,)</f>
        <v>0</v>
      </c>
      <c r="G144" s="48">
        <f>VLOOKUP($B128,[4]Complaints!$A$4:$AJ$39,13,)</f>
        <v>0</v>
      </c>
      <c r="H144" s="48">
        <f>VLOOKUP($B128,[5]Complaints!$A$4:$AJ$39,13,)</f>
        <v>0</v>
      </c>
      <c r="I144" s="48">
        <f>VLOOKUP($B128,[6]Complaints!$A$4:$AJ$39,13,)</f>
        <v>0</v>
      </c>
      <c r="J144" s="48">
        <f>VLOOKUP($B128,[7]Complaints!$A$4:$AJ$39,13,)</f>
        <v>0</v>
      </c>
      <c r="K144" s="48">
        <f>VLOOKUP($B128,[8]Complaints!$A$4:$AJ$39,13,)</f>
        <v>0</v>
      </c>
      <c r="L144" s="48">
        <f>VLOOKUP($B128,[9]Complaints!$A$4:$AJ$39,13,)</f>
        <v>0</v>
      </c>
      <c r="M144" s="48">
        <f>VLOOKUP($B128,[10]Complaints!$A$4:$AJ$39,13,)</f>
        <v>0</v>
      </c>
      <c r="N144" s="48">
        <f>VLOOKUP($B128,[11]Complaints!$A$4:$AJ$39,13,)</f>
        <v>0</v>
      </c>
      <c r="O144" s="49">
        <f>VLOOKUP($B128,[12]Complaints!$A$4:$AJ$39,13,)</f>
        <v>0</v>
      </c>
      <c r="P144" s="55">
        <f t="shared" si="39"/>
        <v>0</v>
      </c>
      <c r="Q144" s="50" t="str">
        <f>IF(P144=0,"",P144/$P130)</f>
        <v/>
      </c>
      <c r="R144" s="18"/>
    </row>
    <row r="145" spans="1:19" ht="15.75" customHeight="1" x14ac:dyDescent="0.2">
      <c r="B145" s="169"/>
      <c r="C145" s="31" t="s">
        <v>92</v>
      </c>
      <c r="D145" s="47">
        <f>VLOOKUP($B128,[1]Complaints!$A$4:$AJ$39,14,)</f>
        <v>0</v>
      </c>
      <c r="E145" s="48">
        <f>VLOOKUP($B128,[2]Complaints!$A$4:$AJ$39,14,)</f>
        <v>0</v>
      </c>
      <c r="F145" s="48">
        <f>VLOOKUP($B128,[3]Complaints!$A$4:$AJ$39,14,)</f>
        <v>0</v>
      </c>
      <c r="G145" s="48">
        <f>VLOOKUP($B128,[4]Complaints!$A$4:$AJ$39,14,)</f>
        <v>0</v>
      </c>
      <c r="H145" s="48">
        <f>VLOOKUP($B128,[5]Complaints!$A$4:$AJ$39,14,)</f>
        <v>0</v>
      </c>
      <c r="I145" s="48">
        <f>VLOOKUP($B128,[6]Complaints!$A$4:$AJ$39,14,)</f>
        <v>0</v>
      </c>
      <c r="J145" s="48">
        <f>VLOOKUP($B128,[7]Complaints!$A$4:$AJ$39,14,)</f>
        <v>0</v>
      </c>
      <c r="K145" s="48">
        <f>VLOOKUP($B128,[8]Complaints!$A$4:$AJ$39,14,)</f>
        <v>0</v>
      </c>
      <c r="L145" s="48">
        <f>VLOOKUP($B128,[9]Complaints!$A$4:$AJ$39,14,)</f>
        <v>0</v>
      </c>
      <c r="M145" s="48">
        <f>VLOOKUP($B128,[10]Complaints!$A$4:$AJ$39,14,)</f>
        <v>0</v>
      </c>
      <c r="N145" s="48">
        <f>VLOOKUP($B128,[11]Complaints!$A$4:$AJ$39,14,)</f>
        <v>0</v>
      </c>
      <c r="O145" s="49">
        <f>VLOOKUP($B128,[12]Complaints!$A$4:$AJ$39,14,)</f>
        <v>0</v>
      </c>
      <c r="P145" s="55">
        <f t="shared" si="39"/>
        <v>0</v>
      </c>
      <c r="Q145" s="50" t="str">
        <f>IF(P145=0,"",P145/$P130)</f>
        <v/>
      </c>
      <c r="R145" s="18"/>
    </row>
    <row r="146" spans="1:19" ht="15.75" customHeight="1" x14ac:dyDescent="0.2">
      <c r="B146" s="169"/>
      <c r="C146" s="31" t="s">
        <v>91</v>
      </c>
      <c r="D146" s="47">
        <f>VLOOKUP($B128,[1]Complaints!$A$4:$AJ$39,15,)</f>
        <v>0</v>
      </c>
      <c r="E146" s="48">
        <f>VLOOKUP($B128,[2]Complaints!$A$4:$AJ$39,15,)</f>
        <v>1</v>
      </c>
      <c r="F146" s="48">
        <f>VLOOKUP($B128,[3]Complaints!$A$4:$AJ$39,15,)</f>
        <v>1</v>
      </c>
      <c r="G146" s="48">
        <f>VLOOKUP($B128,[4]Complaints!$A$4:$AJ$39,15,)</f>
        <v>0</v>
      </c>
      <c r="H146" s="48">
        <f>VLOOKUP($B128,[5]Complaints!$A$4:$AJ$39,15,)</f>
        <v>1</v>
      </c>
      <c r="I146" s="48">
        <f>VLOOKUP($B128,[6]Complaints!$A$4:$AJ$39,15,)</f>
        <v>0</v>
      </c>
      <c r="J146" s="48">
        <f>VLOOKUP($B128,[7]Complaints!$A$4:$AJ$39,15,)</f>
        <v>1</v>
      </c>
      <c r="K146" s="48">
        <f>VLOOKUP($B128,[8]Complaints!$A$4:$AJ$39,15,)</f>
        <v>0</v>
      </c>
      <c r="L146" s="48">
        <f>VLOOKUP($B128,[9]Complaints!$A$4:$AJ$39,15,)</f>
        <v>0</v>
      </c>
      <c r="M146" s="48">
        <f>VLOOKUP($B128,[10]Complaints!$A$4:$AJ$39,15,)</f>
        <v>0</v>
      </c>
      <c r="N146" s="48">
        <f>VLOOKUP($B128,[11]Complaints!$A$4:$AJ$39,15,)</f>
        <v>0</v>
      </c>
      <c r="O146" s="49">
        <f>VLOOKUP($B128,[12]Complaints!$A$4:$AJ$39,15,)</f>
        <v>0</v>
      </c>
      <c r="P146" s="55">
        <f t="shared" si="39"/>
        <v>4</v>
      </c>
      <c r="Q146" s="50">
        <f>IF(P146=0,"",P146/$P130)</f>
        <v>0.25</v>
      </c>
      <c r="R146" s="18"/>
    </row>
    <row r="147" spans="1:19" ht="15.75" customHeight="1" x14ac:dyDescent="0.2">
      <c r="B147" s="169"/>
      <c r="C147" s="31" t="s">
        <v>79</v>
      </c>
      <c r="D147" s="47">
        <f>VLOOKUP($B128,[1]Complaints!$A$4:$AJ$39,16,)</f>
        <v>0</v>
      </c>
      <c r="E147" s="48">
        <f>VLOOKUP($B128,[2]Complaints!$A$4:$AJ$39,16,)</f>
        <v>0</v>
      </c>
      <c r="F147" s="48">
        <f>VLOOKUP($B128,[3]Complaints!$A$4:$AJ$39,16,)</f>
        <v>0</v>
      </c>
      <c r="G147" s="48">
        <f>VLOOKUP($B128,[4]Complaints!$A$4:$AJ$39,16,)</f>
        <v>0</v>
      </c>
      <c r="H147" s="48">
        <f>VLOOKUP($B128,[5]Complaints!$A$4:$AJ$39,16,)</f>
        <v>0</v>
      </c>
      <c r="I147" s="48">
        <f>VLOOKUP($B128,[6]Complaints!$A$4:$AJ$39,16,)</f>
        <v>0</v>
      </c>
      <c r="J147" s="48">
        <f>VLOOKUP($B128,[7]Complaints!$A$4:$AJ$39,16,)</f>
        <v>0</v>
      </c>
      <c r="K147" s="48">
        <f>VLOOKUP($B128,[8]Complaints!$A$4:$AJ$39,16,)</f>
        <v>0</v>
      </c>
      <c r="L147" s="48">
        <f>VLOOKUP($B128,[9]Complaints!$A$4:$AJ$39,16,)</f>
        <v>0</v>
      </c>
      <c r="M147" s="48">
        <f>VLOOKUP($B128,[10]Complaints!$A$4:$AJ$39,16,)</f>
        <v>0</v>
      </c>
      <c r="N147" s="48">
        <f>VLOOKUP($B128,[11]Complaints!$A$4:$AJ$39,16,)</f>
        <v>0</v>
      </c>
      <c r="O147" s="49">
        <f>VLOOKUP($B128,[12]Complaints!$A$4:$AJ$39,16,)</f>
        <v>0</v>
      </c>
      <c r="P147" s="55">
        <f t="shared" si="39"/>
        <v>0</v>
      </c>
      <c r="Q147" s="50" t="str">
        <f>IF(P147=0,"",P147/$P130)</f>
        <v/>
      </c>
      <c r="R147" s="18"/>
    </row>
    <row r="148" spans="1:19" ht="15.75" customHeight="1" x14ac:dyDescent="0.2">
      <c r="B148" s="169"/>
      <c r="C148" s="31" t="s">
        <v>80</v>
      </c>
      <c r="D148" s="47">
        <f>VLOOKUP($B128,[1]Complaints!$A$4:$AJ$39,17,)</f>
        <v>0</v>
      </c>
      <c r="E148" s="48">
        <f>VLOOKUP($B128,[2]Complaints!$A$4:$AJ$39,17,)</f>
        <v>0</v>
      </c>
      <c r="F148" s="48">
        <f>VLOOKUP($B128,[3]Complaints!$A$4:$AJ$39,17,)</f>
        <v>0</v>
      </c>
      <c r="G148" s="48">
        <f>VLOOKUP($B128,[4]Complaints!$A$4:$AJ$39,17,)</f>
        <v>0</v>
      </c>
      <c r="H148" s="48">
        <f>VLOOKUP($B128,[5]Complaints!$A$4:$AJ$39,17,)</f>
        <v>0</v>
      </c>
      <c r="I148" s="48">
        <f>VLOOKUP($B128,[6]Complaints!$A$4:$AJ$39,17,)</f>
        <v>0</v>
      </c>
      <c r="J148" s="48">
        <f>VLOOKUP($B128,[7]Complaints!$A$4:$AJ$39,17,)</f>
        <v>0</v>
      </c>
      <c r="K148" s="48">
        <f>VLOOKUP($B128,[8]Complaints!$A$4:$AJ$39,17,)</f>
        <v>0</v>
      </c>
      <c r="L148" s="48">
        <f>VLOOKUP($B128,[9]Complaints!$A$4:$AJ$39,17,)</f>
        <v>0</v>
      </c>
      <c r="M148" s="48">
        <f>VLOOKUP($B128,[10]Complaints!$A$4:$AJ$39,17,)</f>
        <v>0</v>
      </c>
      <c r="N148" s="48">
        <f>VLOOKUP($B128,[11]Complaints!$A$4:$AJ$39,17,)</f>
        <v>0</v>
      </c>
      <c r="O148" s="49">
        <f>VLOOKUP($B128,[12]Complaints!$A$4:$AJ$39,17,)</f>
        <v>0</v>
      </c>
      <c r="P148" s="55">
        <f t="shared" si="39"/>
        <v>0</v>
      </c>
      <c r="Q148" s="50" t="str">
        <f>IF(P148=0,"",P148/$P130)</f>
        <v/>
      </c>
      <c r="R148" s="18"/>
    </row>
    <row r="149" spans="1:19" ht="15.75" customHeight="1" x14ac:dyDescent="0.2">
      <c r="B149" s="169"/>
      <c r="C149" s="31" t="s">
        <v>81</v>
      </c>
      <c r="D149" s="47">
        <f>VLOOKUP($B128,[1]Complaints!$A$4:$AJ$39,18,)</f>
        <v>0</v>
      </c>
      <c r="E149" s="48">
        <f>VLOOKUP($B128,[2]Complaints!$A$4:$AJ$39,18,)</f>
        <v>0</v>
      </c>
      <c r="F149" s="48">
        <f>VLOOKUP($B128,[3]Complaints!$A$4:$AJ$39,18,)</f>
        <v>0</v>
      </c>
      <c r="G149" s="48">
        <f>VLOOKUP($B128,[4]Complaints!$A$4:$AJ$39,18,)</f>
        <v>0</v>
      </c>
      <c r="H149" s="48">
        <f>VLOOKUP($B128,[5]Complaints!$A$4:$AJ$39,18,)</f>
        <v>0</v>
      </c>
      <c r="I149" s="48">
        <f>VLOOKUP($B128,[6]Complaints!$A$4:$AJ$39,18,)</f>
        <v>0</v>
      </c>
      <c r="J149" s="48">
        <f>VLOOKUP($B128,[7]Complaints!$A$4:$AJ$39,18,)</f>
        <v>0</v>
      </c>
      <c r="K149" s="48">
        <f>VLOOKUP($B128,[8]Complaints!$A$4:$AJ$39,18,)</f>
        <v>0</v>
      </c>
      <c r="L149" s="48">
        <f>VLOOKUP($B128,[9]Complaints!$A$4:$AJ$39,18,)</f>
        <v>0</v>
      </c>
      <c r="M149" s="48">
        <f>VLOOKUP($B128,[10]Complaints!$A$4:$AJ$39,18,)</f>
        <v>1</v>
      </c>
      <c r="N149" s="48">
        <f>VLOOKUP($B128,[11]Complaints!$A$4:$AJ$39,18,)</f>
        <v>0</v>
      </c>
      <c r="O149" s="49">
        <f>VLOOKUP($B128,[12]Complaints!$A$4:$AJ$39,18,)</f>
        <v>0</v>
      </c>
      <c r="P149" s="55">
        <f t="shared" si="39"/>
        <v>1</v>
      </c>
      <c r="Q149" s="50">
        <f>IF(P149=0,"",P149/$P130)</f>
        <v>6.25E-2</v>
      </c>
      <c r="R149" s="18"/>
    </row>
    <row r="150" spans="1:19" ht="15.75" customHeight="1" x14ac:dyDescent="0.2">
      <c r="B150" s="169"/>
      <c r="C150" s="31" t="s">
        <v>82</v>
      </c>
      <c r="D150" s="47">
        <f>VLOOKUP($B128,[1]Complaints!$A$4:$AJ$39,19,)</f>
        <v>0</v>
      </c>
      <c r="E150" s="48">
        <f>VLOOKUP($B128,[2]Complaints!$A$4:$AJ$39,19,)</f>
        <v>0</v>
      </c>
      <c r="F150" s="48">
        <f>VLOOKUP($B128,[3]Complaints!$A$4:$AJ$39,19,)</f>
        <v>0</v>
      </c>
      <c r="G150" s="48">
        <f>VLOOKUP($B128,[4]Complaints!$A$4:$AJ$39,19,)</f>
        <v>0</v>
      </c>
      <c r="H150" s="48">
        <f>VLOOKUP($B128,[5]Complaints!$A$4:$AJ$39,19,)</f>
        <v>0</v>
      </c>
      <c r="I150" s="48">
        <f>VLOOKUP($B128,[6]Complaints!$A$4:$AJ$39,19,)</f>
        <v>0</v>
      </c>
      <c r="J150" s="48">
        <f>VLOOKUP($B128,[7]Complaints!$A$4:$AJ$39,19,)</f>
        <v>0</v>
      </c>
      <c r="K150" s="48">
        <f>VLOOKUP($B128,[8]Complaints!$A$4:$AJ$39,19,)</f>
        <v>0</v>
      </c>
      <c r="L150" s="48">
        <f>VLOOKUP($B128,[9]Complaints!$A$4:$AJ$39,19,)</f>
        <v>0</v>
      </c>
      <c r="M150" s="48">
        <f>VLOOKUP($B128,[10]Complaints!$A$4:$AJ$39,19,)</f>
        <v>0</v>
      </c>
      <c r="N150" s="48">
        <f>VLOOKUP($B128,[11]Complaints!$A$4:$AJ$39,19,)</f>
        <v>0</v>
      </c>
      <c r="O150" s="49">
        <f>VLOOKUP($B128,[12]Complaints!$A$4:$AJ$39,19,)</f>
        <v>0</v>
      </c>
      <c r="P150" s="55">
        <f t="shared" si="39"/>
        <v>0</v>
      </c>
      <c r="Q150" s="50" t="str">
        <f>IF(P150=0,"",P150/$P130)</f>
        <v/>
      </c>
      <c r="R150" s="18"/>
    </row>
    <row r="151" spans="1:19" ht="15.75" customHeight="1" thickBot="1" x14ac:dyDescent="0.25">
      <c r="B151" s="170"/>
      <c r="C151" s="31" t="s">
        <v>83</v>
      </c>
      <c r="D151" s="47">
        <f>VLOOKUP($B128,[1]Complaints!$A$4:$AJ$39,20,)</f>
        <v>0</v>
      </c>
      <c r="E151" s="48">
        <f>VLOOKUP($B128,[2]Complaints!$A$4:$AJ$39,20,)</f>
        <v>0</v>
      </c>
      <c r="F151" s="48">
        <f>VLOOKUP($B128,[3]Complaints!$A$4:$AJ$39,20,)</f>
        <v>0</v>
      </c>
      <c r="G151" s="48">
        <f>VLOOKUP($B128,[4]Complaints!$A$4:$AJ$39,20,)</f>
        <v>0</v>
      </c>
      <c r="H151" s="48">
        <f>VLOOKUP($B128,[5]Complaints!$A$4:$AJ$39,20,)</f>
        <v>0</v>
      </c>
      <c r="I151" s="48">
        <f>VLOOKUP($B128,[6]Complaints!$A$4:$AJ$39,20,)</f>
        <v>0</v>
      </c>
      <c r="J151" s="48">
        <f>VLOOKUP($B128,[7]Complaints!$A$4:$AJ$39,20,)</f>
        <v>0</v>
      </c>
      <c r="K151" s="48">
        <f>VLOOKUP($B128,[8]Complaints!$A$4:$AJ$39,20,)</f>
        <v>0</v>
      </c>
      <c r="L151" s="48">
        <f>VLOOKUP($B128,[9]Complaints!$A$4:$AJ$39,20,)</f>
        <v>0</v>
      </c>
      <c r="M151" s="48">
        <f>VLOOKUP($B128,[10]Complaints!$A$4:$AJ$39,20,)</f>
        <v>0</v>
      </c>
      <c r="N151" s="48">
        <f>VLOOKUP($B128,[11]Complaints!$A$4:$AJ$39,20,)</f>
        <v>0</v>
      </c>
      <c r="O151" s="49">
        <f>VLOOKUP($B128,[12]Complaints!$A$4:$AJ$39,20,)</f>
        <v>0</v>
      </c>
      <c r="P151" s="55">
        <f t="shared" si="39"/>
        <v>0</v>
      </c>
      <c r="Q151" s="50" t="str">
        <f>IF(P151=0,"",P151/$P130)</f>
        <v/>
      </c>
      <c r="R151" s="18"/>
    </row>
    <row r="152" spans="1:19" ht="15.75" customHeight="1" x14ac:dyDescent="0.2">
      <c r="B152" s="144" t="s">
        <v>90</v>
      </c>
      <c r="C152" s="37" t="s">
        <v>118</v>
      </c>
      <c r="D152" s="62">
        <f>VLOOKUP($B128,[1]Complaints!$A$4:$AJ$39,21,)</f>
        <v>0</v>
      </c>
      <c r="E152" s="63">
        <f>VLOOKUP($B128,[2]Complaints!$A$4:$AJ$39,21,)</f>
        <v>1</v>
      </c>
      <c r="F152" s="63">
        <f>VLOOKUP($B128,[3]Complaints!$A$4:$AJ$39,21,)</f>
        <v>0</v>
      </c>
      <c r="G152" s="63">
        <f>VLOOKUP($B128,[4]Complaints!$A$4:$AJ$39,21,)</f>
        <v>0</v>
      </c>
      <c r="H152" s="63">
        <f>VLOOKUP($B128,[5]Complaints!$A$4:$AJ$39,21,)</f>
        <v>0</v>
      </c>
      <c r="I152" s="63">
        <f>VLOOKUP($B128,[6]Complaints!$A$4:$AJ$39,21,)</f>
        <v>2</v>
      </c>
      <c r="J152" s="63">
        <f>VLOOKUP($B128,[7]Complaints!$A$4:$AJ$39,21,)</f>
        <v>0</v>
      </c>
      <c r="K152" s="63">
        <f>VLOOKUP($B128,[8]Complaints!$A$4:$AJ$39,21,)</f>
        <v>0</v>
      </c>
      <c r="L152" s="63">
        <f>VLOOKUP($B128,[9]Complaints!$A$4:$AJ$39,21,)</f>
        <v>0</v>
      </c>
      <c r="M152" s="63">
        <f>VLOOKUP($B128,[10]Complaints!$A$4:$AJ$39,21,)</f>
        <v>0</v>
      </c>
      <c r="N152" s="63">
        <f>VLOOKUP($B128,[11]Complaints!$A$4:$AJ$39,21,)</f>
        <v>0</v>
      </c>
      <c r="O152" s="64">
        <f>VLOOKUP($B128,[12]Complaints!$A$4:$AJ$39,21,)</f>
        <v>0</v>
      </c>
      <c r="P152" s="65">
        <f>SUM(D152:O152)</f>
        <v>3</v>
      </c>
      <c r="Q152" s="46">
        <f>IF(P152=0,"",P152/$P136)</f>
        <v>0.5</v>
      </c>
      <c r="R152" s="18"/>
    </row>
    <row r="153" spans="1:19" ht="15.75" customHeight="1" x14ac:dyDescent="0.2">
      <c r="B153" s="145"/>
      <c r="C153" s="38" t="s">
        <v>77</v>
      </c>
      <c r="D153" s="66">
        <f>VLOOKUP($B128,[1]Complaints!$A$4:$AJ$39,22,)</f>
        <v>0</v>
      </c>
      <c r="E153" s="67">
        <f>VLOOKUP($B128,[2]Complaints!$A$4:$AJ$39,22,)</f>
        <v>0</v>
      </c>
      <c r="F153" s="67">
        <f>VLOOKUP($B128,[3]Complaints!$A$4:$AJ$39,22,)</f>
        <v>0</v>
      </c>
      <c r="G153" s="67">
        <f>VLOOKUP($B128,[4]Complaints!$A$4:$AJ$39,22,)</f>
        <v>0</v>
      </c>
      <c r="H153" s="67">
        <f>VLOOKUP($B128,[5]Complaints!$A$4:$AJ$39,22,)</f>
        <v>0</v>
      </c>
      <c r="I153" s="67">
        <f>VLOOKUP($B128,[6]Complaints!$A$4:$AJ$39,22,)</f>
        <v>0</v>
      </c>
      <c r="J153" s="67">
        <f>VLOOKUP($B128,[7]Complaints!$A$4:$AJ$39,22,)</f>
        <v>0</v>
      </c>
      <c r="K153" s="67">
        <f>VLOOKUP($B128,[8]Complaints!$A$4:$AJ$39,22,)</f>
        <v>0</v>
      </c>
      <c r="L153" s="67">
        <f>VLOOKUP($B128,[9]Complaints!$A$4:$AJ$39,22,)</f>
        <v>0</v>
      </c>
      <c r="M153" s="67">
        <f>VLOOKUP($B128,[10]Complaints!$A$4:$AJ$39,22,)</f>
        <v>0</v>
      </c>
      <c r="N153" s="67">
        <f>VLOOKUP($B128,[11]Complaints!$A$4:$AJ$39,22,)</f>
        <v>0</v>
      </c>
      <c r="O153" s="68">
        <f>VLOOKUP($B128,[12]Complaints!$A$4:$AJ$39,22,)</f>
        <v>0</v>
      </c>
      <c r="P153" s="69">
        <f t="shared" ref="P153:P167" si="40">SUM(D153:O153)</f>
        <v>0</v>
      </c>
      <c r="Q153" s="70" t="str">
        <f>IF(P153=0,"",P153/$P136)</f>
        <v/>
      </c>
      <c r="R153" s="18"/>
    </row>
    <row r="154" spans="1:19" ht="15.75" customHeight="1" x14ac:dyDescent="0.2">
      <c r="B154" s="145"/>
      <c r="C154" s="38" t="s">
        <v>108</v>
      </c>
      <c r="D154" s="66">
        <f>VLOOKUP($B128,[1]Complaints!$A$4:$AJ$39,23,)</f>
        <v>0</v>
      </c>
      <c r="E154" s="67">
        <f>VLOOKUP($B128,[2]Complaints!$A$4:$AJ$39,23,)</f>
        <v>1</v>
      </c>
      <c r="F154" s="67">
        <f>VLOOKUP($B128,[3]Complaints!$A$4:$AJ$39,23,)</f>
        <v>0</v>
      </c>
      <c r="G154" s="67">
        <f>VLOOKUP($B128,[4]Complaints!$A$4:$AJ$39,23,)</f>
        <v>0</v>
      </c>
      <c r="H154" s="67">
        <f>VLOOKUP($B128,[5]Complaints!$A$4:$AJ$39,23,)</f>
        <v>0</v>
      </c>
      <c r="I154" s="67">
        <f>VLOOKUP($B128,[6]Complaints!$A$4:$AJ$39,23,)</f>
        <v>1</v>
      </c>
      <c r="J154" s="67">
        <f>VLOOKUP($B128,[7]Complaints!$A$4:$AJ$39,23,)</f>
        <v>0</v>
      </c>
      <c r="K154" s="67">
        <f>VLOOKUP($B128,[8]Complaints!$A$4:$AJ$39,23,)</f>
        <v>0</v>
      </c>
      <c r="L154" s="67">
        <f>VLOOKUP($B128,[9]Complaints!$A$4:$AJ$39,23,)</f>
        <v>0</v>
      </c>
      <c r="M154" s="67">
        <f>VLOOKUP($B128,[10]Complaints!$A$4:$AJ$39,23,)</f>
        <v>0</v>
      </c>
      <c r="N154" s="67">
        <f>VLOOKUP($B128,[11]Complaints!$A$4:$AJ$39,23,)</f>
        <v>0</v>
      </c>
      <c r="O154" s="68">
        <f>VLOOKUP($B128,[12]Complaints!$A$4:$AJ$39,23,)</f>
        <v>0</v>
      </c>
      <c r="P154" s="69">
        <f t="shared" si="40"/>
        <v>2</v>
      </c>
      <c r="Q154" s="70">
        <f>IF(P154=0,"",P154/$P136)</f>
        <v>0.33333333333333331</v>
      </c>
      <c r="R154" s="18"/>
    </row>
    <row r="155" spans="1:19" ht="15.75" customHeight="1" x14ac:dyDescent="0.2">
      <c r="B155" s="145"/>
      <c r="C155" s="38" t="s">
        <v>88</v>
      </c>
      <c r="D155" s="66">
        <f>VLOOKUP($B128,[1]Complaints!$A$4:$AJ$39,24,)</f>
        <v>0</v>
      </c>
      <c r="E155" s="67">
        <f>VLOOKUP($B128,[2]Complaints!$A$4:$AJ$39,24,)</f>
        <v>0</v>
      </c>
      <c r="F155" s="67">
        <f>VLOOKUP($B128,[3]Complaints!$A$4:$AJ$39,24,)</f>
        <v>0</v>
      </c>
      <c r="G155" s="67">
        <f>VLOOKUP($B128,[4]Complaints!$A$4:$AJ$39,24,)</f>
        <v>0</v>
      </c>
      <c r="H155" s="67">
        <f>VLOOKUP($B128,[5]Complaints!$A$4:$AJ$39,24,)</f>
        <v>0</v>
      </c>
      <c r="I155" s="67">
        <f>VLOOKUP($B128,[6]Complaints!$A$4:$AJ$39,24,)</f>
        <v>0</v>
      </c>
      <c r="J155" s="67">
        <f>VLOOKUP($B128,[7]Complaints!$A$4:$AJ$39,24,)</f>
        <v>0</v>
      </c>
      <c r="K155" s="67">
        <f>VLOOKUP($B128,[8]Complaints!$A$4:$AJ$39,24,)</f>
        <v>0</v>
      </c>
      <c r="L155" s="67">
        <f>VLOOKUP($B128,[9]Complaints!$A$4:$AJ$39,24,)</f>
        <v>0</v>
      </c>
      <c r="M155" s="67">
        <f>VLOOKUP($B128,[10]Complaints!$A$4:$AJ$39,24,)</f>
        <v>0</v>
      </c>
      <c r="N155" s="67">
        <f>VLOOKUP($B128,[11]Complaints!$A$4:$AJ$39,24,)</f>
        <v>0</v>
      </c>
      <c r="O155" s="68">
        <f>VLOOKUP($B128,[12]Complaints!$A$4:$AJ$39,24,)</f>
        <v>0</v>
      </c>
      <c r="P155" s="69">
        <f t="shared" si="40"/>
        <v>0</v>
      </c>
      <c r="Q155" s="70" t="str">
        <f>IF(P155=0,"",P155/$P136)</f>
        <v/>
      </c>
      <c r="R155" s="18"/>
    </row>
    <row r="156" spans="1:19" ht="15.75" customHeight="1" x14ac:dyDescent="0.2">
      <c r="B156" s="145"/>
      <c r="C156" s="38" t="s">
        <v>109</v>
      </c>
      <c r="D156" s="66">
        <f>VLOOKUP($B128,[1]Complaints!$A$4:$AJ$39,25,)</f>
        <v>0</v>
      </c>
      <c r="E156" s="67">
        <f>VLOOKUP($B128,[2]Complaints!$A$4:$AJ$39,25,)</f>
        <v>0</v>
      </c>
      <c r="F156" s="67">
        <f>VLOOKUP($B128,[3]Complaints!$A$4:$AJ$39,25,)</f>
        <v>0</v>
      </c>
      <c r="G156" s="67">
        <f>VLOOKUP($B128,[4]Complaints!$A$4:$AJ$39,25,)</f>
        <v>0</v>
      </c>
      <c r="H156" s="67">
        <f>VLOOKUP($B128,[5]Complaints!$A$4:$AJ$39,25,)</f>
        <v>0</v>
      </c>
      <c r="I156" s="67">
        <f>VLOOKUP($B128,[6]Complaints!$A$4:$AJ$39,25,)</f>
        <v>1</v>
      </c>
      <c r="J156" s="67">
        <f>VLOOKUP($B128,[7]Complaints!$A$4:$AJ$39,25,)</f>
        <v>0</v>
      </c>
      <c r="K156" s="67">
        <f>VLOOKUP($B128,[8]Complaints!$A$4:$AJ$39,25,)</f>
        <v>0</v>
      </c>
      <c r="L156" s="67">
        <f>VLOOKUP($B128,[9]Complaints!$A$4:$AJ$39,25,)</f>
        <v>0</v>
      </c>
      <c r="M156" s="67">
        <f>VLOOKUP($B128,[10]Complaints!$A$4:$AJ$39,25,)</f>
        <v>0</v>
      </c>
      <c r="N156" s="67">
        <f>VLOOKUP($B128,[11]Complaints!$A$4:$AJ$39,25,)</f>
        <v>0</v>
      </c>
      <c r="O156" s="68">
        <f>VLOOKUP($B128,[12]Complaints!$A$4:$AJ$39,25,)</f>
        <v>0</v>
      </c>
      <c r="P156" s="69">
        <f t="shared" si="40"/>
        <v>1</v>
      </c>
      <c r="Q156" s="70">
        <f>IF(P156=0,"",P156/$P136)</f>
        <v>0.16666666666666666</v>
      </c>
      <c r="R156" s="18"/>
    </row>
    <row r="157" spans="1:19" ht="15.75" customHeight="1" x14ac:dyDescent="0.2">
      <c r="A157" s="21"/>
      <c r="B157" s="145"/>
      <c r="C157" s="38" t="s">
        <v>110</v>
      </c>
      <c r="D157" s="66">
        <f>VLOOKUP($B128,[1]Complaints!$A$4:$AJ$39,26,)</f>
        <v>0</v>
      </c>
      <c r="E157" s="67">
        <f>VLOOKUP($B128,[2]Complaints!$A$4:$AJ$39,26,)</f>
        <v>0</v>
      </c>
      <c r="F157" s="67">
        <f>VLOOKUP($B128,[3]Complaints!$A$4:$AJ$39,26,)</f>
        <v>0</v>
      </c>
      <c r="G157" s="67">
        <f>VLOOKUP($B128,[4]Complaints!$A$4:$AJ$39,26,)</f>
        <v>0</v>
      </c>
      <c r="H157" s="67">
        <f>VLOOKUP($B128,[5]Complaints!$A$4:$AJ$39,26,)</f>
        <v>0</v>
      </c>
      <c r="I157" s="67">
        <f>VLOOKUP($B128,[6]Complaints!$A$4:$AJ$39,26,)</f>
        <v>0</v>
      </c>
      <c r="J157" s="67">
        <f>VLOOKUP($B128,[7]Complaints!$A$4:$AJ$39,26,)</f>
        <v>0</v>
      </c>
      <c r="K157" s="67">
        <f>VLOOKUP($B128,[8]Complaints!$A$4:$AJ$39,26,)</f>
        <v>0</v>
      </c>
      <c r="L157" s="67">
        <f>VLOOKUP($B128,[9]Complaints!$A$4:$AJ$39,26,)</f>
        <v>0</v>
      </c>
      <c r="M157" s="67">
        <f>VLOOKUP($B128,[10]Complaints!$A$4:$AJ$39,26,)</f>
        <v>0</v>
      </c>
      <c r="N157" s="67">
        <f>VLOOKUP($B128,[11]Complaints!$A$4:$AJ$39,26,)</f>
        <v>0</v>
      </c>
      <c r="O157" s="68">
        <f>VLOOKUP($B128,[12]Complaints!$A$4:$AJ$39,26,)</f>
        <v>0</v>
      </c>
      <c r="P157" s="69">
        <f t="shared" si="40"/>
        <v>0</v>
      </c>
      <c r="Q157" s="70" t="str">
        <f>IF(P157=0,"",P157/$P136)</f>
        <v/>
      </c>
      <c r="R157" s="18"/>
    </row>
    <row r="158" spans="1:19" s="21" customFormat="1" ht="15.75" customHeight="1" x14ac:dyDescent="0.2">
      <c r="B158" s="145"/>
      <c r="C158" s="39" t="s">
        <v>107</v>
      </c>
      <c r="D158" s="71">
        <f>VLOOKUP($B128,[1]Complaints!$A$4:$AJ$39,27,)</f>
        <v>0</v>
      </c>
      <c r="E158" s="72">
        <f>VLOOKUP($B128,[2]Complaints!$A$4:$AJ$39,27,)</f>
        <v>0</v>
      </c>
      <c r="F158" s="72">
        <f>VLOOKUP($B128,[3]Complaints!$A$4:$AJ$39,27,)</f>
        <v>0</v>
      </c>
      <c r="G158" s="72">
        <f>VLOOKUP($B128,[4]Complaints!$A$4:$AJ$39,27,)</f>
        <v>0</v>
      </c>
      <c r="H158" s="72">
        <f>VLOOKUP($B128,[5]Complaints!$A$4:$AJ$39,27,)</f>
        <v>0</v>
      </c>
      <c r="I158" s="72">
        <f>VLOOKUP($B128,[6]Complaints!$A$4:$AJ$39,27,)</f>
        <v>0</v>
      </c>
      <c r="J158" s="72">
        <f>VLOOKUP($B128,[7]Complaints!$A$4:$AJ$39,27,)</f>
        <v>0</v>
      </c>
      <c r="K158" s="72">
        <f>VLOOKUP($B128,[8]Complaints!$A$4:$AJ$39,27,)</f>
        <v>0</v>
      </c>
      <c r="L158" s="72">
        <f>VLOOKUP($B128,[9]Complaints!$A$4:$AJ$39,27,)</f>
        <v>0</v>
      </c>
      <c r="M158" s="72">
        <f>VLOOKUP($B128,[10]Complaints!$A$4:$AJ$39,27,)</f>
        <v>0</v>
      </c>
      <c r="N158" s="72">
        <f>VLOOKUP($B128,[11]Complaints!$A$4:$AJ$39,27,)</f>
        <v>0</v>
      </c>
      <c r="O158" s="73">
        <f>VLOOKUP($B128,[12]Complaints!$A$4:$AJ$39,27,)</f>
        <v>0</v>
      </c>
      <c r="P158" s="69">
        <f t="shared" si="40"/>
        <v>0</v>
      </c>
      <c r="Q158" s="70" t="str">
        <f>IF(P158=0,"",P158/$P136)</f>
        <v/>
      </c>
      <c r="S158" s="18"/>
    </row>
    <row r="159" spans="1:19" ht="15.75" customHeight="1" x14ac:dyDescent="0.2">
      <c r="B159" s="145"/>
      <c r="C159" s="39" t="s">
        <v>87</v>
      </c>
      <c r="D159" s="71">
        <f>VLOOKUP($B128,[1]Complaints!$A$4:$AJ$39,28,)</f>
        <v>0</v>
      </c>
      <c r="E159" s="72">
        <f>VLOOKUP($B128,[2]Complaints!$A$4:$AJ$39,28,)</f>
        <v>0</v>
      </c>
      <c r="F159" s="72">
        <f>VLOOKUP($B128,[3]Complaints!$A$4:$AJ$39,28,)</f>
        <v>0</v>
      </c>
      <c r="G159" s="72">
        <f>VLOOKUP($B128,[4]Complaints!$A$4:$AJ$39,28,)</f>
        <v>0</v>
      </c>
      <c r="H159" s="72">
        <f>VLOOKUP($B128,[5]Complaints!$A$4:$AJ$39,28,)</f>
        <v>0</v>
      </c>
      <c r="I159" s="72">
        <f>VLOOKUP($B128,[6]Complaints!$A$4:$AJ$39,28,)</f>
        <v>0</v>
      </c>
      <c r="J159" s="72">
        <f>VLOOKUP($B128,[7]Complaints!$A$4:$AJ$39,28,)</f>
        <v>0</v>
      </c>
      <c r="K159" s="72">
        <f>VLOOKUP($B128,[8]Complaints!$A$4:$AJ$39,28,)</f>
        <v>0</v>
      </c>
      <c r="L159" s="72">
        <f>VLOOKUP($B128,[9]Complaints!$A$4:$AJ$39,28,)</f>
        <v>0</v>
      </c>
      <c r="M159" s="72">
        <f>VLOOKUP($B128,[10]Complaints!$A$4:$AJ$39,28,)</f>
        <v>0</v>
      </c>
      <c r="N159" s="72">
        <f>VLOOKUP($B128,[11]Complaints!$A$4:$AJ$39,28,)</f>
        <v>0</v>
      </c>
      <c r="O159" s="73">
        <f>VLOOKUP($B128,[12]Complaints!$A$4:$AJ$39,28,)</f>
        <v>0</v>
      </c>
      <c r="P159" s="69">
        <f t="shared" si="40"/>
        <v>0</v>
      </c>
      <c r="Q159" s="70" t="str">
        <f>IF(P159=0,"",P159/$P136)</f>
        <v/>
      </c>
      <c r="R159" s="18"/>
    </row>
    <row r="160" spans="1:19" ht="15.75" customHeight="1" x14ac:dyDescent="0.2">
      <c r="B160" s="145"/>
      <c r="C160" s="38" t="s">
        <v>111</v>
      </c>
      <c r="D160" s="66">
        <f>VLOOKUP($B128,[1]Complaints!$A$4:$AJ$39,29,)</f>
        <v>0</v>
      </c>
      <c r="E160" s="67">
        <f>VLOOKUP($B128,[2]Complaints!$A$4:$AJ$39,29,)</f>
        <v>0</v>
      </c>
      <c r="F160" s="67">
        <f>VLOOKUP($B128,[3]Complaints!$A$4:$AJ$39,29,)</f>
        <v>0</v>
      </c>
      <c r="G160" s="67">
        <f>VLOOKUP($B128,[4]Complaints!$A$4:$AJ$39,29,)</f>
        <v>0</v>
      </c>
      <c r="H160" s="67">
        <f>VLOOKUP($B128,[5]Complaints!$A$4:$AJ$39,29,)</f>
        <v>0</v>
      </c>
      <c r="I160" s="67">
        <f>VLOOKUP($B128,[6]Complaints!$A$4:$AJ$39,29,)</f>
        <v>0</v>
      </c>
      <c r="J160" s="67">
        <f>VLOOKUP($B128,[7]Complaints!$A$4:$AJ$39,29,)</f>
        <v>0</v>
      </c>
      <c r="K160" s="67">
        <f>VLOOKUP($B128,[8]Complaints!$A$4:$AJ$39,29,)</f>
        <v>0</v>
      </c>
      <c r="L160" s="67">
        <f>VLOOKUP($B128,[9]Complaints!$A$4:$AJ$39,29,)</f>
        <v>0</v>
      </c>
      <c r="M160" s="67">
        <f>VLOOKUP($B128,[10]Complaints!$A$4:$AJ$39,29,)</f>
        <v>0</v>
      </c>
      <c r="N160" s="67">
        <f>VLOOKUP($B128,[11]Complaints!$A$4:$AJ$39,29,)</f>
        <v>0</v>
      </c>
      <c r="O160" s="68">
        <f>VLOOKUP($B128,[12]Complaints!$A$4:$AJ$39,29,)</f>
        <v>0</v>
      </c>
      <c r="P160" s="69">
        <f t="shared" si="40"/>
        <v>0</v>
      </c>
      <c r="Q160" s="70" t="str">
        <f>IF(P160=0,"",P160/$P136)</f>
        <v/>
      </c>
      <c r="R160" s="18"/>
    </row>
    <row r="161" spans="2:19" ht="15.75" customHeight="1" x14ac:dyDescent="0.2">
      <c r="B161" s="145"/>
      <c r="C161" s="38" t="s">
        <v>112</v>
      </c>
      <c r="D161" s="66">
        <f>VLOOKUP($B128,[1]Complaints!$A$4:$AJ$39,30,)</f>
        <v>0</v>
      </c>
      <c r="E161" s="67">
        <f>VLOOKUP($B128,[2]Complaints!$A$4:$AJ$39,30,)</f>
        <v>0</v>
      </c>
      <c r="F161" s="67">
        <f>VLOOKUP($B128,[3]Complaints!$A$4:$AJ$39,30,)</f>
        <v>0</v>
      </c>
      <c r="G161" s="67">
        <f>VLOOKUP($B128,[4]Complaints!$A$4:$AJ$39,30,)</f>
        <v>0</v>
      </c>
      <c r="H161" s="67">
        <f>VLOOKUP($B128,[5]Complaints!$A$4:$AJ$39,30,)</f>
        <v>0</v>
      </c>
      <c r="I161" s="67">
        <f>VLOOKUP($B128,[6]Complaints!$A$4:$AJ$39,30,)</f>
        <v>0</v>
      </c>
      <c r="J161" s="67">
        <f>VLOOKUP($B128,[7]Complaints!$A$4:$AJ$39,30,)</f>
        <v>0</v>
      </c>
      <c r="K161" s="67">
        <f>VLOOKUP($B128,[8]Complaints!$A$4:$AJ$39,30,)</f>
        <v>0</v>
      </c>
      <c r="L161" s="67">
        <f>VLOOKUP($B128,[9]Complaints!$A$4:$AJ$39,30,)</f>
        <v>0</v>
      </c>
      <c r="M161" s="67">
        <f>VLOOKUP($B128,[10]Complaints!$A$4:$AJ$39,30,)</f>
        <v>0</v>
      </c>
      <c r="N161" s="67">
        <f>VLOOKUP($B128,[11]Complaints!$A$4:$AJ$39,30,)</f>
        <v>0</v>
      </c>
      <c r="O161" s="68">
        <f>VLOOKUP($B128,[12]Complaints!$A$4:$AJ$39,30,)</f>
        <v>0</v>
      </c>
      <c r="P161" s="69">
        <f t="shared" si="40"/>
        <v>0</v>
      </c>
      <c r="Q161" s="70" t="str">
        <f>IF(P161=0,"",P161/$P136)</f>
        <v/>
      </c>
      <c r="R161" s="18"/>
    </row>
    <row r="162" spans="2:19" ht="15.75" customHeight="1" x14ac:dyDescent="0.2">
      <c r="B162" s="146"/>
      <c r="C162" s="40" t="s">
        <v>119</v>
      </c>
      <c r="D162" s="74">
        <f>VLOOKUP($B128,[1]Complaints!$A$4:$AJ$39,31,)</f>
        <v>0</v>
      </c>
      <c r="E162" s="75">
        <f>VLOOKUP($B128,[2]Complaints!$A$4:$AJ$39,31,)</f>
        <v>1</v>
      </c>
      <c r="F162" s="75">
        <f>VLOOKUP($B128,[3]Complaints!$A$4:$AJ$39,31,)</f>
        <v>1</v>
      </c>
      <c r="G162" s="75">
        <f>VLOOKUP($B128,[4]Complaints!$A$4:$AJ$39,31,)</f>
        <v>0</v>
      </c>
      <c r="H162" s="75">
        <f>VLOOKUP($B128,[5]Complaints!$A$4:$AJ$39,31,)</f>
        <v>1</v>
      </c>
      <c r="I162" s="75">
        <f>VLOOKUP($B128,[6]Complaints!$A$4:$AJ$39,31,)</f>
        <v>0</v>
      </c>
      <c r="J162" s="75">
        <f>VLOOKUP($B128,[7]Complaints!$A$4:$AJ$39,31,)</f>
        <v>0</v>
      </c>
      <c r="K162" s="75">
        <f>VLOOKUP($B128,[8]Complaints!$A$4:$AJ$39,31,)</f>
        <v>0</v>
      </c>
      <c r="L162" s="75">
        <f>VLOOKUP($B128,[9]Complaints!$A$4:$AJ$39,31,)</f>
        <v>0</v>
      </c>
      <c r="M162" s="75">
        <f>VLOOKUP($B128,[10]Complaints!$A$4:$AJ$39,31,)</f>
        <v>1</v>
      </c>
      <c r="N162" s="75">
        <f>VLOOKUP($B128,[11]Complaints!$A$4:$AJ$39,31,)</f>
        <v>0</v>
      </c>
      <c r="O162" s="76">
        <f>VLOOKUP($B128,[12]Complaints!$A$4:$AJ$39,31,)</f>
        <v>0</v>
      </c>
      <c r="P162" s="77">
        <f t="shared" si="40"/>
        <v>4</v>
      </c>
      <c r="Q162" s="50">
        <f>IF(P162=0,"",P162/$P136)</f>
        <v>0.66666666666666663</v>
      </c>
      <c r="R162" s="18"/>
    </row>
    <row r="163" spans="2:19" ht="15.75" customHeight="1" x14ac:dyDescent="0.2">
      <c r="B163" s="146"/>
      <c r="C163" s="38" t="s">
        <v>113</v>
      </c>
      <c r="D163" s="66">
        <f>VLOOKUP($B128,[1]Complaints!$A$4:$AJ$39,32,)</f>
        <v>0</v>
      </c>
      <c r="E163" s="67">
        <f>VLOOKUP($B128,[2]Complaints!$A$4:$AJ$39,32,)</f>
        <v>0</v>
      </c>
      <c r="F163" s="67">
        <f>VLOOKUP($B128,[3]Complaints!$A$4:$AJ$39,32,)</f>
        <v>0</v>
      </c>
      <c r="G163" s="67">
        <f>VLOOKUP($B128,[4]Complaints!$A$4:$AJ$39,32,)</f>
        <v>0</v>
      </c>
      <c r="H163" s="67">
        <f>VLOOKUP($B128,[5]Complaints!$A$4:$AJ$39,32,)</f>
        <v>0</v>
      </c>
      <c r="I163" s="67">
        <f>VLOOKUP($B128,[6]Complaints!$A$4:$AJ$39,32,)</f>
        <v>0</v>
      </c>
      <c r="J163" s="67">
        <f>VLOOKUP($B128,[7]Complaints!$A$4:$AJ$39,32,)</f>
        <v>0</v>
      </c>
      <c r="K163" s="67">
        <f>VLOOKUP($B128,[8]Complaints!$A$4:$AJ$39,32,)</f>
        <v>0</v>
      </c>
      <c r="L163" s="67">
        <f>VLOOKUP($B128,[9]Complaints!$A$4:$AJ$39,32,)</f>
        <v>0</v>
      </c>
      <c r="M163" s="67">
        <f>VLOOKUP($B128,[10]Complaints!$A$4:$AJ$39,32,)</f>
        <v>0</v>
      </c>
      <c r="N163" s="67">
        <f>VLOOKUP($B128,[11]Complaints!$A$4:$AJ$39,32,)</f>
        <v>0</v>
      </c>
      <c r="O163" s="68">
        <f>VLOOKUP($B128,[12]Complaints!$A$4:$AJ$39,32,)</f>
        <v>0</v>
      </c>
      <c r="P163" s="69">
        <f t="shared" si="40"/>
        <v>0</v>
      </c>
      <c r="Q163" s="70" t="str">
        <f>IF(P163=0,"",P163/$P136)</f>
        <v/>
      </c>
      <c r="R163" s="18"/>
    </row>
    <row r="164" spans="2:19" ht="15.75" customHeight="1" x14ac:dyDescent="0.2">
      <c r="B164" s="146"/>
      <c r="C164" s="38" t="s">
        <v>114</v>
      </c>
      <c r="D164" s="66">
        <f>VLOOKUP($B128,[1]Complaints!$A$4:$AJ$39,33,)</f>
        <v>0</v>
      </c>
      <c r="E164" s="67">
        <f>VLOOKUP($B128,[2]Complaints!$A$4:$AJ$39,33,)</f>
        <v>0</v>
      </c>
      <c r="F164" s="67">
        <f>VLOOKUP($B128,[3]Complaints!$A$4:$AJ$39,33,)</f>
        <v>0</v>
      </c>
      <c r="G164" s="67">
        <f>VLOOKUP($B128,[4]Complaints!$A$4:$AJ$39,33,)</f>
        <v>0</v>
      </c>
      <c r="H164" s="67">
        <f>VLOOKUP($B128,[5]Complaints!$A$4:$AJ$39,33,)</f>
        <v>1</v>
      </c>
      <c r="I164" s="67">
        <f>VLOOKUP($B128,[6]Complaints!$A$4:$AJ$39,33,)</f>
        <v>0</v>
      </c>
      <c r="J164" s="67">
        <f>VLOOKUP($B128,[7]Complaints!$A$4:$AJ$39,33,)</f>
        <v>0</v>
      </c>
      <c r="K164" s="67">
        <f>VLOOKUP($B128,[8]Complaints!$A$4:$AJ$39,33,)</f>
        <v>0</v>
      </c>
      <c r="L164" s="67">
        <f>VLOOKUP($B128,[9]Complaints!$A$4:$AJ$39,33,)</f>
        <v>0</v>
      </c>
      <c r="M164" s="67">
        <f>VLOOKUP($B128,[10]Complaints!$A$4:$AJ$39,33,)</f>
        <v>0</v>
      </c>
      <c r="N164" s="67">
        <f>VLOOKUP($B128,[11]Complaints!$A$4:$AJ$39,33,)</f>
        <v>0</v>
      </c>
      <c r="O164" s="68">
        <f>VLOOKUP($B128,[12]Complaints!$A$4:$AJ$39,33,)</f>
        <v>0</v>
      </c>
      <c r="P164" s="69">
        <f t="shared" si="40"/>
        <v>1</v>
      </c>
      <c r="Q164" s="70">
        <f>IF(P164=0,"",P164/$P136)</f>
        <v>0.16666666666666666</v>
      </c>
      <c r="R164" s="18"/>
    </row>
    <row r="165" spans="2:19" ht="15.75" customHeight="1" x14ac:dyDescent="0.2">
      <c r="B165" s="146"/>
      <c r="C165" s="38" t="s">
        <v>115</v>
      </c>
      <c r="D165" s="66">
        <f>VLOOKUP($B128,[1]Complaints!$A$4:$AJ$39,34,)</f>
        <v>0</v>
      </c>
      <c r="E165" s="67">
        <f>VLOOKUP($B128,[2]Complaints!$A$4:$AJ$39,34,)</f>
        <v>0</v>
      </c>
      <c r="F165" s="67">
        <f>VLOOKUP($B128,[3]Complaints!$A$4:$AJ$39,34,)</f>
        <v>0</v>
      </c>
      <c r="G165" s="67">
        <f>VLOOKUP($B128,[4]Complaints!$A$4:$AJ$39,34,)</f>
        <v>0</v>
      </c>
      <c r="H165" s="67">
        <f>VLOOKUP($B128,[5]Complaints!$A$4:$AJ$39,34,)</f>
        <v>0</v>
      </c>
      <c r="I165" s="67">
        <f>VLOOKUP($B128,[6]Complaints!$A$4:$AJ$39,34,)</f>
        <v>0</v>
      </c>
      <c r="J165" s="67">
        <f>VLOOKUP($B128,[7]Complaints!$A$4:$AJ$39,34,)</f>
        <v>0</v>
      </c>
      <c r="K165" s="67">
        <f>VLOOKUP($B128,[8]Complaints!$A$4:$AJ$39,34,)</f>
        <v>0</v>
      </c>
      <c r="L165" s="67">
        <f>VLOOKUP($B128,[9]Complaints!$A$4:$AJ$39,34,)</f>
        <v>0</v>
      </c>
      <c r="M165" s="67">
        <f>VLOOKUP($B128,[10]Complaints!$A$4:$AJ$39,34,)</f>
        <v>0</v>
      </c>
      <c r="N165" s="67">
        <f>VLOOKUP($B128,[11]Complaints!$A$4:$AJ$39,34,)</f>
        <v>0</v>
      </c>
      <c r="O165" s="68">
        <f>VLOOKUP($B128,[12]Complaints!$A$4:$AJ$39,34,)</f>
        <v>0</v>
      </c>
      <c r="P165" s="69">
        <f t="shared" si="40"/>
        <v>0</v>
      </c>
      <c r="Q165" s="70" t="str">
        <f>IF(P165=0,"",P165/$P136)</f>
        <v/>
      </c>
      <c r="R165" s="18"/>
    </row>
    <row r="166" spans="2:19" ht="15.75" customHeight="1" x14ac:dyDescent="0.2">
      <c r="B166" s="146"/>
      <c r="C166" s="38" t="s">
        <v>116</v>
      </c>
      <c r="D166" s="66">
        <f>VLOOKUP($B128,[1]Complaints!$A$4:$AJ$39,35,)</f>
        <v>0</v>
      </c>
      <c r="E166" s="67">
        <f>VLOOKUP($B128,[2]Complaints!$A$4:$AJ$39,35,)</f>
        <v>0</v>
      </c>
      <c r="F166" s="67">
        <f>VLOOKUP($B128,[3]Complaints!$A$4:$AJ$39,35,)</f>
        <v>1</v>
      </c>
      <c r="G166" s="67">
        <f>VLOOKUP($B128,[4]Complaints!$A$4:$AJ$39,35,)</f>
        <v>0</v>
      </c>
      <c r="H166" s="67">
        <f>VLOOKUP($B128,[5]Complaints!$A$4:$AJ$39,35,)</f>
        <v>0</v>
      </c>
      <c r="I166" s="67">
        <f>VLOOKUP($B128,[6]Complaints!$A$4:$AJ$39,35,)</f>
        <v>0</v>
      </c>
      <c r="J166" s="67">
        <f>VLOOKUP($B128,[7]Complaints!$A$4:$AJ$39,35,)</f>
        <v>0</v>
      </c>
      <c r="K166" s="67">
        <f>VLOOKUP($B128,[8]Complaints!$A$4:$AJ$39,35,)</f>
        <v>0</v>
      </c>
      <c r="L166" s="67">
        <f>VLOOKUP($B128,[9]Complaints!$A$4:$AJ$39,35,)</f>
        <v>0</v>
      </c>
      <c r="M166" s="67">
        <f>VLOOKUP($B128,[10]Complaints!$A$4:$AJ$39,35,)</f>
        <v>1</v>
      </c>
      <c r="N166" s="67">
        <f>VLOOKUP($B128,[11]Complaints!$A$4:$AJ$39,35,)</f>
        <v>0</v>
      </c>
      <c r="O166" s="68">
        <f>VLOOKUP($B128,[12]Complaints!$A$4:$AJ$39,35,)</f>
        <v>0</v>
      </c>
      <c r="P166" s="69">
        <f t="shared" si="40"/>
        <v>2</v>
      </c>
      <c r="Q166" s="70">
        <f>IF(P166=0,"",P166/$P136)</f>
        <v>0.33333333333333331</v>
      </c>
      <c r="R166" s="18"/>
    </row>
    <row r="167" spans="2:19" ht="15.75" customHeight="1" thickBot="1" x14ac:dyDescent="0.25">
      <c r="B167" s="147"/>
      <c r="C167" s="41" t="s">
        <v>117</v>
      </c>
      <c r="D167" s="78">
        <f>VLOOKUP($B128,[1]Complaints!$A$4:$AJ$39,36,)</f>
        <v>0</v>
      </c>
      <c r="E167" s="79">
        <f>VLOOKUP($B128,[2]Complaints!$A$4:$AJ$39,36,)</f>
        <v>1</v>
      </c>
      <c r="F167" s="79">
        <f>VLOOKUP($B128,[3]Complaints!$A$4:$AJ$39,36,)</f>
        <v>0</v>
      </c>
      <c r="G167" s="79">
        <f>VLOOKUP($B128,[4]Complaints!$A$4:$AJ$39,36,)</f>
        <v>0</v>
      </c>
      <c r="H167" s="79">
        <f>VLOOKUP($B128,[5]Complaints!$A$4:$AJ$39,36,)</f>
        <v>0</v>
      </c>
      <c r="I167" s="79">
        <f>VLOOKUP($B128,[6]Complaints!$A$4:$AJ$39,36,)</f>
        <v>0</v>
      </c>
      <c r="J167" s="79">
        <f>VLOOKUP($B128,[7]Complaints!$A$4:$AJ$39,36,)</f>
        <v>0</v>
      </c>
      <c r="K167" s="79">
        <f>VLOOKUP($B128,[8]Complaints!$A$4:$AJ$39,36,)</f>
        <v>0</v>
      </c>
      <c r="L167" s="79">
        <f>VLOOKUP($B128,[9]Complaints!$A$4:$AJ$39,36,)</f>
        <v>0</v>
      </c>
      <c r="M167" s="79">
        <f>VLOOKUP($B128,[10]Complaints!$A$4:$AJ$39,36,)</f>
        <v>0</v>
      </c>
      <c r="N167" s="79">
        <f>VLOOKUP($B128,[11]Complaints!$A$4:$AJ$39,36,)</f>
        <v>0</v>
      </c>
      <c r="O167" s="80">
        <f>VLOOKUP($B128,[12]Complaints!$A$4:$AJ$39,36,)</f>
        <v>0</v>
      </c>
      <c r="P167" s="81">
        <f t="shared" si="40"/>
        <v>1</v>
      </c>
      <c r="Q167" s="82">
        <f>IF(P167=0,"",P167/$P136)</f>
        <v>0.16666666666666666</v>
      </c>
      <c r="R167" s="18"/>
    </row>
    <row r="168" spans="2:19" ht="15.75" customHeight="1" thickBot="1" x14ac:dyDescent="0.25"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18"/>
    </row>
    <row r="169" spans="2:19" ht="15.75" customHeight="1" x14ac:dyDescent="0.25">
      <c r="B169" s="158" t="s">
        <v>16</v>
      </c>
      <c r="C169" s="159"/>
      <c r="D169" s="32" t="s">
        <v>0</v>
      </c>
      <c r="E169" s="20" t="s">
        <v>1</v>
      </c>
      <c r="F169" s="20" t="s">
        <v>2</v>
      </c>
      <c r="G169" s="20" t="s">
        <v>3</v>
      </c>
      <c r="H169" s="20" t="s">
        <v>4</v>
      </c>
      <c r="I169" s="20" t="s">
        <v>5</v>
      </c>
      <c r="J169" s="20" t="s">
        <v>6</v>
      </c>
      <c r="K169" s="20" t="s">
        <v>7</v>
      </c>
      <c r="L169" s="20" t="s">
        <v>8</v>
      </c>
      <c r="M169" s="20" t="s">
        <v>9</v>
      </c>
      <c r="N169" s="20" t="s">
        <v>10</v>
      </c>
      <c r="O169" s="33" t="s">
        <v>11</v>
      </c>
      <c r="P169" s="35" t="s">
        <v>12</v>
      </c>
      <c r="Q169" s="160" t="s">
        <v>104</v>
      </c>
      <c r="R169" s="18"/>
    </row>
    <row r="170" spans="2:19" ht="15.75" customHeight="1" thickBot="1" x14ac:dyDescent="0.3">
      <c r="B170" s="162" t="s">
        <v>71</v>
      </c>
      <c r="C170" s="163"/>
      <c r="D170" s="34">
        <v>2020</v>
      </c>
      <c r="E170" s="34">
        <v>2020</v>
      </c>
      <c r="F170" s="34">
        <v>2020</v>
      </c>
      <c r="G170" s="34">
        <v>2020</v>
      </c>
      <c r="H170" s="34">
        <v>2020</v>
      </c>
      <c r="I170" s="34">
        <v>2020</v>
      </c>
      <c r="J170" s="34">
        <v>2020</v>
      </c>
      <c r="K170" s="34">
        <v>2020</v>
      </c>
      <c r="L170" s="34">
        <v>2020</v>
      </c>
      <c r="M170" s="25">
        <v>2021</v>
      </c>
      <c r="N170" s="25">
        <v>2021</v>
      </c>
      <c r="O170" s="25">
        <v>2021</v>
      </c>
      <c r="P170" s="36" t="s">
        <v>122</v>
      </c>
      <c r="Q170" s="161"/>
      <c r="R170" s="18"/>
      <c r="S170" s="21"/>
    </row>
    <row r="171" spans="2:19" ht="12.75" customHeight="1" thickBot="1" x14ac:dyDescent="0.25">
      <c r="B171" s="164" t="s">
        <v>38</v>
      </c>
      <c r="C171" s="165"/>
      <c r="D171" s="42">
        <f>VLOOKUP($B170,[1]Complaints!$A$4:$AJ$39,2,)</f>
        <v>129</v>
      </c>
      <c r="E171" s="43">
        <f>VLOOKUP($B170,[2]Complaints!$A$4:$AJ$39,2,)</f>
        <v>180</v>
      </c>
      <c r="F171" s="43">
        <f>VLOOKUP($B170,[3]Complaints!$A$4:$AJ$39,2)</f>
        <v>264</v>
      </c>
      <c r="G171" s="43">
        <f>VLOOKUP($B170,[4]Complaints!$A$4:$AJ$39,2)</f>
        <v>472</v>
      </c>
      <c r="H171" s="43">
        <f>VLOOKUP($B170,[5]Complaints!$A$4:$AJ$39,2)</f>
        <v>615</v>
      </c>
      <c r="I171" s="43">
        <f>VLOOKUP($B170,[6]Complaints!$A$4:$AJ$39,2)</f>
        <v>739</v>
      </c>
      <c r="J171" s="43">
        <f>VLOOKUP($B170,[7]Complaints!$A$4:$AJ$39,2)</f>
        <v>752</v>
      </c>
      <c r="K171" s="43">
        <f>VLOOKUP($B170,[8]Complaints!$A$4:$AJ$39,2)</f>
        <v>752</v>
      </c>
      <c r="L171" s="43">
        <f>VLOOKUP($B170,[9]Complaints!$A$4:$AJ$39,2)</f>
        <v>663</v>
      </c>
      <c r="M171" s="43">
        <f>VLOOKUP($B170,[10]Complaints!$A$4:$AJ$39,2)</f>
        <v>413</v>
      </c>
      <c r="N171" s="43">
        <f>VLOOKUP($B170,[11]Complaints!$A$4:$AJ$39,2)</f>
        <v>0</v>
      </c>
      <c r="O171" s="44">
        <f>VLOOKUP($B170,[12]Complaints!$A$4:$AJ$39,2)</f>
        <v>0</v>
      </c>
      <c r="P171" s="45">
        <f>SUM(D171:O171)</f>
        <v>4979</v>
      </c>
      <c r="Q171" s="46"/>
      <c r="R171" s="18"/>
    </row>
    <row r="172" spans="2:19" ht="15.75" customHeight="1" x14ac:dyDescent="0.2">
      <c r="B172" s="166" t="s">
        <v>94</v>
      </c>
      <c r="C172" s="167"/>
      <c r="D172" s="47">
        <f>VLOOKUP($B170,[1]Complaints!$A$4:$AF$39,3,)</f>
        <v>0</v>
      </c>
      <c r="E172" s="48">
        <f>VLOOKUP($B170,[2]Complaints!$A$4:$AF$39,3,)</f>
        <v>1</v>
      </c>
      <c r="F172" s="48">
        <f>VLOOKUP($B170,[3]Complaints!$A$4:$AG$39,3,)</f>
        <v>0</v>
      </c>
      <c r="G172" s="48">
        <f>VLOOKUP($B170,[4]Complaints!$A$4:$AG$39,3,)</f>
        <v>1</v>
      </c>
      <c r="H172" s="48">
        <f>VLOOKUP($B170,[5]Complaints!$A$4:$AG$39,3,)</f>
        <v>0</v>
      </c>
      <c r="I172" s="48">
        <f>VLOOKUP($B170,[6]Complaints!$A$4:$AG$39,3,)</f>
        <v>1</v>
      </c>
      <c r="J172" s="48">
        <f>VLOOKUP($B170,[7]Complaints!$A$4:$AG$39,3,)</f>
        <v>1</v>
      </c>
      <c r="K172" s="48">
        <f>VLOOKUP($B170,[8]Complaints!$A$4:$AG$39,3,)</f>
        <v>1</v>
      </c>
      <c r="L172" s="48">
        <f>VLOOKUP($B170,[9]Complaints!$A$4:$AG$39,3,)</f>
        <v>0</v>
      </c>
      <c r="M172" s="48">
        <f>VLOOKUP($B170,[10]Complaints!$A$4:$AG$39,3,)</f>
        <v>1</v>
      </c>
      <c r="N172" s="48">
        <f>VLOOKUP($B170,[11]Complaints!$A$4:$AG$39,3,)</f>
        <v>0</v>
      </c>
      <c r="O172" s="49">
        <f>VLOOKUP($B170,[12]Complaints!$A$4:$AG$39,3,)</f>
        <v>0</v>
      </c>
      <c r="P172" s="45">
        <f>SUM(D172:O172)</f>
        <v>6</v>
      </c>
      <c r="Q172" s="50"/>
      <c r="R172" s="18"/>
    </row>
    <row r="173" spans="2:19" ht="15.75" customHeight="1" x14ac:dyDescent="0.2">
      <c r="B173" s="26"/>
      <c r="C173" s="28" t="s">
        <v>102</v>
      </c>
      <c r="D173" s="51">
        <f>IF(D171=0,"",D172/D171)</f>
        <v>0</v>
      </c>
      <c r="E173" s="52">
        <f t="shared" ref="E173:O173" si="41">IF(E171=0,"",E172/E171)</f>
        <v>5.5555555555555558E-3</v>
      </c>
      <c r="F173" s="52">
        <f t="shared" si="41"/>
        <v>0</v>
      </c>
      <c r="G173" s="52">
        <f t="shared" si="41"/>
        <v>2.1186440677966102E-3</v>
      </c>
      <c r="H173" s="52">
        <f t="shared" si="41"/>
        <v>0</v>
      </c>
      <c r="I173" s="52">
        <f t="shared" si="41"/>
        <v>1.3531799729364006E-3</v>
      </c>
      <c r="J173" s="52">
        <f t="shared" si="41"/>
        <v>1.3297872340425532E-3</v>
      </c>
      <c r="K173" s="52">
        <f t="shared" si="41"/>
        <v>1.3297872340425532E-3</v>
      </c>
      <c r="L173" s="52">
        <f t="shared" si="41"/>
        <v>0</v>
      </c>
      <c r="M173" s="52">
        <f t="shared" si="41"/>
        <v>2.4213075060532689E-3</v>
      </c>
      <c r="N173" s="52" t="str">
        <f t="shared" si="41"/>
        <v/>
      </c>
      <c r="O173" s="53" t="str">
        <f t="shared" si="41"/>
        <v/>
      </c>
      <c r="P173" s="54">
        <f>IF(P172="","",P172/P171)</f>
        <v>1.2050612572805785E-3</v>
      </c>
      <c r="Q173" s="50"/>
      <c r="R173" s="18"/>
    </row>
    <row r="174" spans="2:19" s="21" customFormat="1" ht="15.75" customHeight="1" x14ac:dyDescent="0.2">
      <c r="B174" s="155" t="s">
        <v>95</v>
      </c>
      <c r="C174" s="156"/>
      <c r="D174" s="47">
        <f>VLOOKUP($B170,[1]Complaints!$A$4:$AF$39,4,)</f>
        <v>0</v>
      </c>
      <c r="E174" s="48">
        <f>VLOOKUP($B170,[2]Complaints!$A$4:$AF$39,4,)</f>
        <v>0</v>
      </c>
      <c r="F174" s="48">
        <f>VLOOKUP($B170,[3]Complaints!$A$4:$AG$39,4,)</f>
        <v>0</v>
      </c>
      <c r="G174" s="48">
        <f>VLOOKUP($B170,[4]Complaints!$A$4:$AG$39,4,)</f>
        <v>0</v>
      </c>
      <c r="H174" s="48">
        <f>VLOOKUP($B170,[5]Complaints!$A$4:$AG$39,4,)</f>
        <v>0</v>
      </c>
      <c r="I174" s="48">
        <f>VLOOKUP($B170,[6]Complaints!$A$4:$AG$39,4,)</f>
        <v>0</v>
      </c>
      <c r="J174" s="48">
        <f>VLOOKUP($B170,[7]Complaints!$A$4:$AG$39,4,)</f>
        <v>1</v>
      </c>
      <c r="K174" s="48">
        <f>VLOOKUP($B170,[8]Complaints!$A$4:$AG$39,4,)</f>
        <v>1</v>
      </c>
      <c r="L174" s="48">
        <f>VLOOKUP($B170,[9]Complaints!$A$4:$AG$39,4,)</f>
        <v>0</v>
      </c>
      <c r="M174" s="48">
        <f>VLOOKUP($B170,[10]Complaints!$A$4:$AG$39,4,)</f>
        <v>1</v>
      </c>
      <c r="N174" s="48">
        <f>VLOOKUP($B170,[11]Complaints!$A$4:$AG$39,4,)</f>
        <v>0</v>
      </c>
      <c r="O174" s="49">
        <f>VLOOKUP($B170,[12]Complaints!$A$4:$AG$39,4,)</f>
        <v>0</v>
      </c>
      <c r="P174" s="55">
        <f t="shared" ref="P174" si="42">SUM(D174:O174)</f>
        <v>3</v>
      </c>
      <c r="Q174" s="50"/>
    </row>
    <row r="175" spans="2:19" ht="15.75" customHeight="1" x14ac:dyDescent="0.2">
      <c r="B175" s="26"/>
      <c r="C175" s="28" t="s">
        <v>98</v>
      </c>
      <c r="D175" s="51">
        <f>IF(D171=0,"",D174/D171)</f>
        <v>0</v>
      </c>
      <c r="E175" s="52">
        <f t="shared" ref="E175:O175" si="43">IF(E171=0,"",E174/E171)</f>
        <v>0</v>
      </c>
      <c r="F175" s="52">
        <f t="shared" si="43"/>
        <v>0</v>
      </c>
      <c r="G175" s="52">
        <f t="shared" si="43"/>
        <v>0</v>
      </c>
      <c r="H175" s="52">
        <f t="shared" si="43"/>
        <v>0</v>
      </c>
      <c r="I175" s="52">
        <f t="shared" si="43"/>
        <v>0</v>
      </c>
      <c r="J175" s="52">
        <f t="shared" si="43"/>
        <v>1.3297872340425532E-3</v>
      </c>
      <c r="K175" s="52">
        <f t="shared" si="43"/>
        <v>1.3297872340425532E-3</v>
      </c>
      <c r="L175" s="52">
        <f t="shared" si="43"/>
        <v>0</v>
      </c>
      <c r="M175" s="52">
        <f t="shared" si="43"/>
        <v>2.4213075060532689E-3</v>
      </c>
      <c r="N175" s="52" t="str">
        <f t="shared" si="43"/>
        <v/>
      </c>
      <c r="O175" s="53" t="str">
        <f t="shared" si="43"/>
        <v/>
      </c>
      <c r="P175" s="54">
        <f>IF(P174="","",P174/P171)</f>
        <v>6.0253062864028923E-4</v>
      </c>
      <c r="Q175" s="50"/>
      <c r="R175" s="18"/>
    </row>
    <row r="176" spans="2:19" ht="15.75" customHeight="1" x14ac:dyDescent="0.2">
      <c r="B176" s="155" t="s">
        <v>96</v>
      </c>
      <c r="C176" s="156"/>
      <c r="D176" s="47">
        <f>VLOOKUP($B170,[1]Complaints!$A$4:$AF$39,5,)</f>
        <v>0</v>
      </c>
      <c r="E176" s="48">
        <f>VLOOKUP($B170,[2]Complaints!$A$4:$AF$39,5,)</f>
        <v>1</v>
      </c>
      <c r="F176" s="48">
        <f>VLOOKUP($B170,[3]Complaints!$A$4:$AG$39,5,)</f>
        <v>0</v>
      </c>
      <c r="G176" s="48">
        <f>VLOOKUP($B170,[4]Complaints!$A$4:$AG$39,5,)</f>
        <v>1</v>
      </c>
      <c r="H176" s="48">
        <f>VLOOKUP($B170,[5]Complaints!$A$4:$AG$39,5,)</f>
        <v>0</v>
      </c>
      <c r="I176" s="48">
        <f>VLOOKUP($B170,[6]Complaints!$A$4:$AG$39,5,)</f>
        <v>1</v>
      </c>
      <c r="J176" s="48">
        <f>VLOOKUP($B170,[7]Complaints!$A$4:$AG$39,5,)</f>
        <v>0</v>
      </c>
      <c r="K176" s="48">
        <f>VLOOKUP($B170,[8]Complaints!$A$4:$AG$39,5,)</f>
        <v>0</v>
      </c>
      <c r="L176" s="48">
        <f>VLOOKUP($B170,[9]Complaints!$A$4:$AG$39,5,)</f>
        <v>0</v>
      </c>
      <c r="M176" s="48">
        <f>VLOOKUP($B170,[10]Complaints!$A$4:$AG$39,5,)</f>
        <v>0</v>
      </c>
      <c r="N176" s="48">
        <f>VLOOKUP($B170,[11]Complaints!$A$4:$AG$39,5,)</f>
        <v>0</v>
      </c>
      <c r="O176" s="49">
        <f>VLOOKUP($B170,[12]Complaints!$A$4:$AG$39,5,)</f>
        <v>0</v>
      </c>
      <c r="P176" s="55">
        <f t="shared" ref="P176" si="44">SUM(D176:O176)</f>
        <v>3</v>
      </c>
      <c r="Q176" s="50"/>
      <c r="R176" s="18"/>
    </row>
    <row r="177" spans="2:18" ht="15.75" customHeight="1" x14ac:dyDescent="0.2">
      <c r="B177" s="26"/>
      <c r="C177" s="28" t="s">
        <v>99</v>
      </c>
      <c r="D177" s="51">
        <f>IF(D171=0,"",D176/D171)</f>
        <v>0</v>
      </c>
      <c r="E177" s="52">
        <f t="shared" ref="E177:O177" si="45">IF(E171=0,"",E176/E171)</f>
        <v>5.5555555555555558E-3</v>
      </c>
      <c r="F177" s="52">
        <f t="shared" si="45"/>
        <v>0</v>
      </c>
      <c r="G177" s="52">
        <f t="shared" si="45"/>
        <v>2.1186440677966102E-3</v>
      </c>
      <c r="H177" s="52">
        <f t="shared" si="45"/>
        <v>0</v>
      </c>
      <c r="I177" s="52">
        <f t="shared" si="45"/>
        <v>1.3531799729364006E-3</v>
      </c>
      <c r="J177" s="52">
        <f t="shared" si="45"/>
        <v>0</v>
      </c>
      <c r="K177" s="52">
        <f t="shared" si="45"/>
        <v>0</v>
      </c>
      <c r="L177" s="52">
        <f t="shared" si="45"/>
        <v>0</v>
      </c>
      <c r="M177" s="52">
        <f t="shared" si="45"/>
        <v>0</v>
      </c>
      <c r="N177" s="52" t="str">
        <f t="shared" si="45"/>
        <v/>
      </c>
      <c r="O177" s="53" t="str">
        <f t="shared" si="45"/>
        <v/>
      </c>
      <c r="P177" s="54">
        <f>IF(P176="","",P176/P171)</f>
        <v>6.0253062864028923E-4</v>
      </c>
      <c r="Q177" s="50"/>
      <c r="R177" s="18"/>
    </row>
    <row r="178" spans="2:18" ht="15.75" customHeight="1" x14ac:dyDescent="0.2">
      <c r="B178" s="157" t="s">
        <v>97</v>
      </c>
      <c r="C178" s="156"/>
      <c r="D178" s="47">
        <f>VLOOKUP($B170,[1]Complaints!$A$4:$AF$39,6,)</f>
        <v>0</v>
      </c>
      <c r="E178" s="48">
        <f>VLOOKUP($B170,[2]Complaints!$A$4:$AF$39,6,)</f>
        <v>0</v>
      </c>
      <c r="F178" s="48">
        <f>VLOOKUP($B170,[3]Complaints!$A$4:$AG$39,6,)</f>
        <v>0</v>
      </c>
      <c r="G178" s="48">
        <f>VLOOKUP($B170,[4]Complaints!$A$4:$AG$39,6,)</f>
        <v>0</v>
      </c>
      <c r="H178" s="48">
        <f>VLOOKUP($B170,[5]Complaints!$A$4:$AG$39,6,)</f>
        <v>0</v>
      </c>
      <c r="I178" s="48">
        <f>VLOOKUP($B170,[6]Complaints!$A$4:$AG$39,6,)</f>
        <v>1</v>
      </c>
      <c r="J178" s="48">
        <f>VLOOKUP($B170,[7]Complaints!$A$4:$AG$39,6,)</f>
        <v>0</v>
      </c>
      <c r="K178" s="48">
        <f>VLOOKUP($B170,[8]Complaints!$A$4:$AG$39,6,)</f>
        <v>0</v>
      </c>
      <c r="L178" s="48">
        <f>VLOOKUP($B170,[9]Complaints!$A$4:$AG$39,6,)</f>
        <v>0</v>
      </c>
      <c r="M178" s="48">
        <f>VLOOKUP($B170,[10]Complaints!$A$4:$AG$39,6,)</f>
        <v>0</v>
      </c>
      <c r="N178" s="48">
        <f>VLOOKUP($B170,[11]Complaints!$A$4:$AG$39,6,)</f>
        <v>0</v>
      </c>
      <c r="O178" s="49">
        <f>VLOOKUP($B170,[12]Complaints!$A$4:$AG$39,6,)</f>
        <v>0</v>
      </c>
      <c r="P178" s="55">
        <f t="shared" ref="P178" si="46">SUM(D178:O178)</f>
        <v>1</v>
      </c>
      <c r="Q178" s="50"/>
      <c r="R178" s="18"/>
    </row>
    <row r="179" spans="2:18" ht="15.75" customHeight="1" thickBot="1" x14ac:dyDescent="0.25">
      <c r="B179" s="27"/>
      <c r="C179" s="29" t="s">
        <v>100</v>
      </c>
      <c r="D179" s="56" t="str">
        <f>IF(D178=0,"",D178/D176)</f>
        <v/>
      </c>
      <c r="E179" s="57" t="str">
        <f t="shared" ref="E179:H179" si="47">IF(E178=0,"",E178/E176)</f>
        <v/>
      </c>
      <c r="F179" s="57" t="str">
        <f t="shared" si="47"/>
        <v/>
      </c>
      <c r="G179" s="57" t="str">
        <f t="shared" si="47"/>
        <v/>
      </c>
      <c r="H179" s="57" t="str">
        <f t="shared" si="47"/>
        <v/>
      </c>
      <c r="I179" s="57">
        <f>IF(I178=0,"",I178/I176)</f>
        <v>1</v>
      </c>
      <c r="J179" s="57" t="str">
        <f t="shared" ref="J179:O179" si="48">IF(J178=0,"",J178/J176)</f>
        <v/>
      </c>
      <c r="K179" s="57" t="str">
        <f t="shared" si="48"/>
        <v/>
      </c>
      <c r="L179" s="57" t="str">
        <f t="shared" si="48"/>
        <v/>
      </c>
      <c r="M179" s="57" t="str">
        <f t="shared" si="48"/>
        <v/>
      </c>
      <c r="N179" s="57" t="str">
        <f t="shared" si="48"/>
        <v/>
      </c>
      <c r="O179" s="58" t="str">
        <f t="shared" si="48"/>
        <v/>
      </c>
      <c r="P179" s="59">
        <f>IF(P178=0,"",P178/P176)</f>
        <v>0.33333333333333331</v>
      </c>
      <c r="Q179" s="60"/>
      <c r="R179" s="18"/>
    </row>
    <row r="180" spans="2:18" ht="15.75" customHeight="1" x14ac:dyDescent="0.2">
      <c r="B180" s="168" t="s">
        <v>103</v>
      </c>
      <c r="C180" s="30" t="s">
        <v>77</v>
      </c>
      <c r="D180" s="61">
        <f>VLOOKUP($B170,[1]Complaints!$A$4:$AJ$39,7,)</f>
        <v>0</v>
      </c>
      <c r="E180" s="43">
        <f>VLOOKUP($B170,[2]Complaints!$A$4:$AJ$39,7,)</f>
        <v>0</v>
      </c>
      <c r="F180" s="43">
        <f>VLOOKUP($B170,[3]Complaints!$A$4:$AJ$39,7,)</f>
        <v>0</v>
      </c>
      <c r="G180" s="43">
        <f>VLOOKUP($B170,[4]Complaints!$A$4:$AJ$39,7,)</f>
        <v>0</v>
      </c>
      <c r="H180" s="43">
        <f>VLOOKUP($B170,[5]Complaints!$A$4:$AJ$39,7,)</f>
        <v>0</v>
      </c>
      <c r="I180" s="43">
        <f>VLOOKUP($B170,[6]Complaints!$A$4:$AJ$39,7,)</f>
        <v>0</v>
      </c>
      <c r="J180" s="43">
        <f>VLOOKUP($B170,[7]Complaints!$A$4:$AJ$39,7,)</f>
        <v>0</v>
      </c>
      <c r="K180" s="43">
        <f>VLOOKUP($B170,[8]Complaints!$A$4:$AJ$39,7,)</f>
        <v>0</v>
      </c>
      <c r="L180" s="43">
        <f>VLOOKUP($B170,[9]Complaints!$A$4:$AJ$39,7,)</f>
        <v>0</v>
      </c>
      <c r="M180" s="43">
        <f>VLOOKUP($B170,[10]Complaints!$A$4:$AJ$39,7,)</f>
        <v>0</v>
      </c>
      <c r="N180" s="43">
        <f>VLOOKUP($B170,[11]Complaints!$A$4:$AJ$39,7,)</f>
        <v>0</v>
      </c>
      <c r="O180" s="44">
        <f>VLOOKUP($B170,[12]Complaints!$A$4:$AJ$39,7,)</f>
        <v>0</v>
      </c>
      <c r="P180" s="45">
        <f>SUM(D180:O180)</f>
        <v>0</v>
      </c>
      <c r="Q180" s="46" t="str">
        <f>IF(P180=0,"",P180/$P172)</f>
        <v/>
      </c>
      <c r="R180" s="18"/>
    </row>
    <row r="181" spans="2:18" ht="15.75" customHeight="1" x14ac:dyDescent="0.2">
      <c r="B181" s="169"/>
      <c r="C181" s="31" t="s">
        <v>89</v>
      </c>
      <c r="D181" s="47">
        <f>VLOOKUP($B170,[1]Complaints!$A$4:$AJ$39,8,)</f>
        <v>0</v>
      </c>
      <c r="E181" s="48">
        <f>VLOOKUP($B170,[2]Complaints!$A$4:$AJ$39,8,)</f>
        <v>1</v>
      </c>
      <c r="F181" s="48">
        <f>VLOOKUP($B170,[3]Complaints!$A$4:$AJ$39,8,)</f>
        <v>0</v>
      </c>
      <c r="G181" s="48">
        <f>VLOOKUP($B170,[4]Complaints!$A$4:$AJ$39,8,)</f>
        <v>1</v>
      </c>
      <c r="H181" s="48">
        <f>VLOOKUP($B170,[5]Complaints!$A$4:$AJ$39,8,)</f>
        <v>0</v>
      </c>
      <c r="I181" s="48">
        <f>VLOOKUP($B170,[6]Complaints!$A$4:$AJ$39,8,)</f>
        <v>0</v>
      </c>
      <c r="J181" s="48">
        <f>VLOOKUP($B170,[7]Complaints!$A$4:$AJ$39,8,)</f>
        <v>0</v>
      </c>
      <c r="K181" s="48">
        <f>VLOOKUP($B170,[8]Complaints!$A$4:$AJ$39,8,)</f>
        <v>0</v>
      </c>
      <c r="L181" s="48">
        <f>VLOOKUP($B170,[9]Complaints!$A$4:$AJ$39,8,)</f>
        <v>0</v>
      </c>
      <c r="M181" s="48">
        <f>VLOOKUP($B170,[10]Complaints!$A$4:$AJ$39,8,)</f>
        <v>0</v>
      </c>
      <c r="N181" s="48">
        <f>VLOOKUP($B170,[11]Complaints!$A$4:$AJ$39,8,)</f>
        <v>0</v>
      </c>
      <c r="O181" s="49">
        <f>VLOOKUP($B170,[12]Complaints!$A$4:$AJ$39,8,)</f>
        <v>0</v>
      </c>
      <c r="P181" s="55">
        <f t="shared" ref="P181:P182" si="49">SUM(D181:O181)</f>
        <v>2</v>
      </c>
      <c r="Q181" s="50">
        <f>IF(P181="","",P181/$P172)</f>
        <v>0.33333333333333331</v>
      </c>
      <c r="R181" s="18"/>
    </row>
    <row r="182" spans="2:18" ht="15.75" customHeight="1" x14ac:dyDescent="0.2">
      <c r="B182" s="169"/>
      <c r="C182" s="31" t="s">
        <v>88</v>
      </c>
      <c r="D182" s="47">
        <f>VLOOKUP($B170,[1]Complaints!$A$4:$AJ$39,9,)</f>
        <v>0</v>
      </c>
      <c r="E182" s="48">
        <f>VLOOKUP($B170,[2]Complaints!$A$4:$AJ$39,9,)</f>
        <v>0</v>
      </c>
      <c r="F182" s="48">
        <f>VLOOKUP($B170,[3]Complaints!$A$4:$AJ$39,9,)</f>
        <v>0</v>
      </c>
      <c r="G182" s="48">
        <f>VLOOKUP($B170,[4]Complaints!$A$4:$AJ$39,9,)</f>
        <v>0</v>
      </c>
      <c r="H182" s="48">
        <f>VLOOKUP($B170,[5]Complaints!$A$4:$AJ$39,9,)</f>
        <v>0</v>
      </c>
      <c r="I182" s="48">
        <f>VLOOKUP($B170,[6]Complaints!$A$4:$AJ$39,9,)</f>
        <v>0</v>
      </c>
      <c r="J182" s="48">
        <f>VLOOKUP($B170,[7]Complaints!$A$4:$AJ$39,9,)</f>
        <v>0</v>
      </c>
      <c r="K182" s="48">
        <f>VLOOKUP($B170,[8]Complaints!$A$4:$AJ$39,9,)</f>
        <v>0</v>
      </c>
      <c r="L182" s="48">
        <f>VLOOKUP($B170,[9]Complaints!$A$4:$AJ$39,9,)</f>
        <v>0</v>
      </c>
      <c r="M182" s="48">
        <f>VLOOKUP($B170,[10]Complaints!$A$4:$AJ$39,9,)</f>
        <v>0</v>
      </c>
      <c r="N182" s="48">
        <f>VLOOKUP($B170,[11]Complaints!$A$4:$AJ$39,9,)</f>
        <v>0</v>
      </c>
      <c r="O182" s="49">
        <f>VLOOKUP($B170,[12]Complaints!$A$4:$AJ$39,9,)</f>
        <v>0</v>
      </c>
      <c r="P182" s="55">
        <f t="shared" si="49"/>
        <v>0</v>
      </c>
      <c r="Q182" s="50" t="str">
        <f>IF(P182=0,"",P182/$P172)</f>
        <v/>
      </c>
      <c r="R182" s="18"/>
    </row>
    <row r="183" spans="2:18" ht="15.75" customHeight="1" x14ac:dyDescent="0.2">
      <c r="B183" s="169"/>
      <c r="C183" s="31" t="s">
        <v>13</v>
      </c>
      <c r="D183" s="47">
        <f>VLOOKUP($B170,[1]Complaints!$A$4:$AJ$39,10,)</f>
        <v>0</v>
      </c>
      <c r="E183" s="48">
        <f>VLOOKUP($B170,[2]Complaints!$A$4:$AJ$39,10,)</f>
        <v>0</v>
      </c>
      <c r="F183" s="48">
        <f>VLOOKUP($B170,[3]Complaints!$A$4:$AJ$39,10,)</f>
        <v>0</v>
      </c>
      <c r="G183" s="48">
        <f>VLOOKUP($B170,[4]Complaints!$A$4:$AJ$39,10,)</f>
        <v>0</v>
      </c>
      <c r="H183" s="48">
        <f>VLOOKUP($B170,[5]Complaints!$A$4:$AJ$39,10,)</f>
        <v>0</v>
      </c>
      <c r="I183" s="48">
        <f>VLOOKUP($B170,[6]Complaints!$A$4:$AJ$39,10,)</f>
        <v>0</v>
      </c>
      <c r="J183" s="48">
        <f>VLOOKUP($B170,[7]Complaints!$A$4:$AJ$39,10,)</f>
        <v>1</v>
      </c>
      <c r="K183" s="48">
        <f>VLOOKUP($B170,[8]Complaints!$A$4:$AJ$39,10,)</f>
        <v>0</v>
      </c>
      <c r="L183" s="48">
        <f>VLOOKUP($B170,[9]Complaints!$A$4:$AJ$39,10,)</f>
        <v>0</v>
      </c>
      <c r="M183" s="48">
        <f>VLOOKUP($B170,[10]Complaints!$A$4:$AJ$39,10,)</f>
        <v>1</v>
      </c>
      <c r="N183" s="48">
        <f>VLOOKUP($B170,[11]Complaints!$A$4:$AJ$39,10,)</f>
        <v>0</v>
      </c>
      <c r="O183" s="49">
        <f>VLOOKUP($B170,[12]Complaints!$A$4:$AJ$39,10,)</f>
        <v>0</v>
      </c>
      <c r="P183" s="55">
        <f>SUM(D183:O183)</f>
        <v>2</v>
      </c>
      <c r="Q183" s="50">
        <f>IF(P183=0,"",P183/$P172)</f>
        <v>0.33333333333333331</v>
      </c>
      <c r="R183" s="18"/>
    </row>
    <row r="184" spans="2:18" ht="15.75" customHeight="1" x14ac:dyDescent="0.2">
      <c r="B184" s="169"/>
      <c r="C184" s="31" t="s">
        <v>101</v>
      </c>
      <c r="D184" s="47">
        <f>VLOOKUP($B170,[1]Complaints!$A$4:$AJ$39,11,)</f>
        <v>0</v>
      </c>
      <c r="E184" s="48">
        <f>VLOOKUP($B170,[2]Complaints!$A$4:$AJ$39,11,)</f>
        <v>0</v>
      </c>
      <c r="F184" s="48">
        <f>VLOOKUP($B170,[3]Complaints!$A$4:$AJ$39,11,)</f>
        <v>0</v>
      </c>
      <c r="G184" s="48">
        <f>VLOOKUP($B170,[4]Complaints!$A$4:$AJ$39,11,)</f>
        <v>0</v>
      </c>
      <c r="H184" s="48">
        <f>VLOOKUP($B170,[5]Complaints!$A$4:$AJ$39,11,)</f>
        <v>0</v>
      </c>
      <c r="I184" s="48">
        <f>VLOOKUP($B170,[6]Complaints!$A$4:$AJ$39,11,)</f>
        <v>0</v>
      </c>
      <c r="J184" s="48">
        <f>VLOOKUP($B170,[7]Complaints!$A$4:$AJ$39,11,)</f>
        <v>0</v>
      </c>
      <c r="K184" s="48">
        <f>VLOOKUP($B170,[8]Complaints!$A$4:$AJ$39,11,)</f>
        <v>0</v>
      </c>
      <c r="L184" s="48">
        <f>VLOOKUP($B170,[9]Complaints!$A$4:$AJ$39,11,)</f>
        <v>0</v>
      </c>
      <c r="M184" s="48">
        <f>VLOOKUP($B170,[10]Complaints!$A$4:$AJ$39,11,)</f>
        <v>0</v>
      </c>
      <c r="N184" s="48">
        <f>VLOOKUP($B170,[11]Complaints!$A$4:$AJ$39,11,)</f>
        <v>0</v>
      </c>
      <c r="O184" s="49">
        <f>VLOOKUP($B170,[12]Complaints!$A$4:$AJ$39,11,)</f>
        <v>0</v>
      </c>
      <c r="P184" s="55">
        <f t="shared" ref="P184:P193" si="50">SUM(D184:O184)</f>
        <v>0</v>
      </c>
      <c r="Q184" s="50" t="str">
        <f>IF(P184=0,"",P184/$P172)</f>
        <v/>
      </c>
      <c r="R184" s="18"/>
    </row>
    <row r="185" spans="2:18" s="19" customFormat="1" ht="15.75" customHeight="1" x14ac:dyDescent="0.2">
      <c r="B185" s="169"/>
      <c r="C185" s="31" t="s">
        <v>93</v>
      </c>
      <c r="D185" s="47">
        <f>VLOOKUP($B170,[1]Complaints!$A$4:$AJ$39,12,)</f>
        <v>0</v>
      </c>
      <c r="E185" s="48">
        <f>VLOOKUP($B170,[2]Complaints!$A$4:$AJ$39,12,)</f>
        <v>0</v>
      </c>
      <c r="F185" s="48">
        <f>VLOOKUP($B170,[3]Complaints!$A$4:$AJ$39,12,)</f>
        <v>0</v>
      </c>
      <c r="G185" s="48">
        <f>VLOOKUP($B170,[4]Complaints!$A$4:$AJ$39,12,)</f>
        <v>0</v>
      </c>
      <c r="H185" s="48">
        <f>VLOOKUP($B170,[5]Complaints!$A$4:$AJ$39,12,)</f>
        <v>0</v>
      </c>
      <c r="I185" s="48">
        <f>VLOOKUP($B170,[6]Complaints!$A$4:$AJ$39,12,)</f>
        <v>1</v>
      </c>
      <c r="J185" s="48">
        <f>VLOOKUP($B170,[7]Complaints!$A$4:$AJ$39,12,)</f>
        <v>0</v>
      </c>
      <c r="K185" s="48">
        <f>VLOOKUP($B170,[8]Complaints!$A$4:$AJ$39,12,)</f>
        <v>0</v>
      </c>
      <c r="L185" s="48">
        <f>VLOOKUP($B170,[9]Complaints!$A$4:$AJ$39,12,)</f>
        <v>0</v>
      </c>
      <c r="M185" s="48">
        <f>VLOOKUP($B170,[10]Complaints!$A$4:$AJ$39,12,)</f>
        <v>0</v>
      </c>
      <c r="N185" s="48">
        <f>VLOOKUP($B170,[11]Complaints!$A$4:$AJ$39,12,)</f>
        <v>0</v>
      </c>
      <c r="O185" s="49">
        <f>VLOOKUP($B170,[12]Complaints!$A$4:$AJ$39,12,)</f>
        <v>0</v>
      </c>
      <c r="P185" s="55">
        <f t="shared" si="50"/>
        <v>1</v>
      </c>
      <c r="Q185" s="50">
        <f>IF(P185=0,"",P185/$P172)</f>
        <v>0.16666666666666666</v>
      </c>
    </row>
    <row r="186" spans="2:18" ht="15.75" customHeight="1" x14ac:dyDescent="0.2">
      <c r="B186" s="169"/>
      <c r="C186" s="31" t="s">
        <v>78</v>
      </c>
      <c r="D186" s="47">
        <f>VLOOKUP($B170,[1]Complaints!$A$4:$AJ$39,13,)</f>
        <v>0</v>
      </c>
      <c r="E186" s="48">
        <f>VLOOKUP($B170,[2]Complaints!$A$4:$AJ$39,13,)</f>
        <v>0</v>
      </c>
      <c r="F186" s="48">
        <f>VLOOKUP($B170,[3]Complaints!$A$4:$AJ$39,13,)</f>
        <v>0</v>
      </c>
      <c r="G186" s="48">
        <f>VLOOKUP($B170,[4]Complaints!$A$4:$AJ$39,13,)</f>
        <v>0</v>
      </c>
      <c r="H186" s="48">
        <f>VLOOKUP($B170,[5]Complaints!$A$4:$AJ$39,13,)</f>
        <v>0</v>
      </c>
      <c r="I186" s="48">
        <f>VLOOKUP($B170,[6]Complaints!$A$4:$AJ$39,13,)</f>
        <v>0</v>
      </c>
      <c r="J186" s="48">
        <f>VLOOKUP($B170,[7]Complaints!$A$4:$AJ$39,13,)</f>
        <v>0</v>
      </c>
      <c r="K186" s="48">
        <f>VLOOKUP($B170,[8]Complaints!$A$4:$AJ$39,13,)</f>
        <v>0</v>
      </c>
      <c r="L186" s="48">
        <f>VLOOKUP($B170,[9]Complaints!$A$4:$AJ$39,13,)</f>
        <v>0</v>
      </c>
      <c r="M186" s="48">
        <f>VLOOKUP($B170,[10]Complaints!$A$4:$AJ$39,13,)</f>
        <v>0</v>
      </c>
      <c r="N186" s="48">
        <f>VLOOKUP($B170,[11]Complaints!$A$4:$AJ$39,13,)</f>
        <v>0</v>
      </c>
      <c r="O186" s="49">
        <f>VLOOKUP($B170,[12]Complaints!$A$4:$AJ$39,13,)</f>
        <v>0</v>
      </c>
      <c r="P186" s="55">
        <f t="shared" si="50"/>
        <v>0</v>
      </c>
      <c r="Q186" s="50" t="str">
        <f>IF(P186=0,"",P186/$P172)</f>
        <v/>
      </c>
      <c r="R186" s="18"/>
    </row>
    <row r="187" spans="2:18" ht="15.75" customHeight="1" x14ac:dyDescent="0.2">
      <c r="B187" s="169"/>
      <c r="C187" s="31" t="s">
        <v>92</v>
      </c>
      <c r="D187" s="47">
        <f>VLOOKUP($B170,[1]Complaints!$A$4:$AJ$39,14,)</f>
        <v>0</v>
      </c>
      <c r="E187" s="48">
        <f>VLOOKUP($B170,[2]Complaints!$A$4:$AJ$39,14,)</f>
        <v>0</v>
      </c>
      <c r="F187" s="48">
        <f>VLOOKUP($B170,[3]Complaints!$A$4:$AJ$39,14,)</f>
        <v>0</v>
      </c>
      <c r="G187" s="48">
        <f>VLOOKUP($B170,[4]Complaints!$A$4:$AJ$39,14,)</f>
        <v>0</v>
      </c>
      <c r="H187" s="48">
        <f>VLOOKUP($B170,[5]Complaints!$A$4:$AJ$39,14,)</f>
        <v>0</v>
      </c>
      <c r="I187" s="48">
        <f>VLOOKUP($B170,[6]Complaints!$A$4:$AJ$39,14,)</f>
        <v>0</v>
      </c>
      <c r="J187" s="48">
        <f>VLOOKUP($B170,[7]Complaints!$A$4:$AJ$39,14,)</f>
        <v>0</v>
      </c>
      <c r="K187" s="48">
        <f>VLOOKUP($B170,[8]Complaints!$A$4:$AJ$39,14,)</f>
        <v>0</v>
      </c>
      <c r="L187" s="48">
        <f>VLOOKUP($B170,[9]Complaints!$A$4:$AJ$39,14,)</f>
        <v>0</v>
      </c>
      <c r="M187" s="48">
        <f>VLOOKUP($B170,[10]Complaints!$A$4:$AJ$39,14,)</f>
        <v>0</v>
      </c>
      <c r="N187" s="48">
        <f>VLOOKUP($B170,[11]Complaints!$A$4:$AJ$39,14,)</f>
        <v>0</v>
      </c>
      <c r="O187" s="49">
        <f>VLOOKUP($B170,[12]Complaints!$A$4:$AJ$39,14,)</f>
        <v>0</v>
      </c>
      <c r="P187" s="55">
        <f t="shared" si="50"/>
        <v>0</v>
      </c>
      <c r="Q187" s="50" t="str">
        <f>IF(P187=0,"",P187/$P172)</f>
        <v/>
      </c>
      <c r="R187" s="18"/>
    </row>
    <row r="188" spans="2:18" ht="15.75" customHeight="1" x14ac:dyDescent="0.2">
      <c r="B188" s="169"/>
      <c r="C188" s="31" t="s">
        <v>91</v>
      </c>
      <c r="D188" s="47">
        <f>VLOOKUP($B170,[1]Complaints!$A$4:$AJ$39,15,)</f>
        <v>0</v>
      </c>
      <c r="E188" s="48">
        <f>VLOOKUP($B170,[2]Complaints!$A$4:$AJ$39,15,)</f>
        <v>0</v>
      </c>
      <c r="F188" s="48">
        <f>VLOOKUP($B170,[3]Complaints!$A$4:$AJ$39,15,)</f>
        <v>0</v>
      </c>
      <c r="G188" s="48">
        <f>VLOOKUP($B170,[4]Complaints!$A$4:$AJ$39,15,)</f>
        <v>0</v>
      </c>
      <c r="H188" s="48">
        <f>VLOOKUP($B170,[5]Complaints!$A$4:$AJ$39,15,)</f>
        <v>0</v>
      </c>
      <c r="I188" s="48">
        <f>VLOOKUP($B170,[6]Complaints!$A$4:$AJ$39,15,)</f>
        <v>0</v>
      </c>
      <c r="J188" s="48">
        <f>VLOOKUP($B170,[7]Complaints!$A$4:$AJ$39,15,)</f>
        <v>0</v>
      </c>
      <c r="K188" s="48">
        <f>VLOOKUP($B170,[8]Complaints!$A$4:$AJ$39,15,)</f>
        <v>0</v>
      </c>
      <c r="L188" s="48">
        <f>VLOOKUP($B170,[9]Complaints!$A$4:$AJ$39,15,)</f>
        <v>0</v>
      </c>
      <c r="M188" s="48">
        <f>VLOOKUP($B170,[10]Complaints!$A$4:$AJ$39,15,)</f>
        <v>0</v>
      </c>
      <c r="N188" s="48">
        <f>VLOOKUP($B170,[11]Complaints!$A$4:$AJ$39,15,)</f>
        <v>0</v>
      </c>
      <c r="O188" s="49">
        <f>VLOOKUP($B170,[12]Complaints!$A$4:$AJ$39,15,)</f>
        <v>0</v>
      </c>
      <c r="P188" s="55">
        <f t="shared" si="50"/>
        <v>0</v>
      </c>
      <c r="Q188" s="50" t="str">
        <f>IF(P188=0,"",P188/$P172)</f>
        <v/>
      </c>
      <c r="R188" s="18"/>
    </row>
    <row r="189" spans="2:18" ht="15.75" customHeight="1" x14ac:dyDescent="0.2">
      <c r="B189" s="169"/>
      <c r="C189" s="31" t="s">
        <v>79</v>
      </c>
      <c r="D189" s="47">
        <f>VLOOKUP($B170,[1]Complaints!$A$4:$AJ$39,16,)</f>
        <v>0</v>
      </c>
      <c r="E189" s="48">
        <f>VLOOKUP($B170,[2]Complaints!$A$4:$AJ$39,16,)</f>
        <v>0</v>
      </c>
      <c r="F189" s="48">
        <f>VLOOKUP($B170,[3]Complaints!$A$4:$AJ$39,16,)</f>
        <v>0</v>
      </c>
      <c r="G189" s="48">
        <f>VLOOKUP($B170,[4]Complaints!$A$4:$AJ$39,16,)</f>
        <v>0</v>
      </c>
      <c r="H189" s="48">
        <f>VLOOKUP($B170,[5]Complaints!$A$4:$AJ$39,16,)</f>
        <v>0</v>
      </c>
      <c r="I189" s="48">
        <f>VLOOKUP($B170,[6]Complaints!$A$4:$AJ$39,16,)</f>
        <v>0</v>
      </c>
      <c r="J189" s="48">
        <f>VLOOKUP($B170,[7]Complaints!$A$4:$AJ$39,16,)</f>
        <v>0</v>
      </c>
      <c r="K189" s="48">
        <f>VLOOKUP($B170,[8]Complaints!$A$4:$AJ$39,16,)</f>
        <v>0</v>
      </c>
      <c r="L189" s="48">
        <f>VLOOKUP($B170,[9]Complaints!$A$4:$AJ$39,16,)</f>
        <v>0</v>
      </c>
      <c r="M189" s="48">
        <f>VLOOKUP($B170,[10]Complaints!$A$4:$AJ$39,16,)</f>
        <v>0</v>
      </c>
      <c r="N189" s="48">
        <f>VLOOKUP($B170,[11]Complaints!$A$4:$AJ$39,16,)</f>
        <v>0</v>
      </c>
      <c r="O189" s="49">
        <f>VLOOKUP($B170,[12]Complaints!$A$4:$AJ$39,16,)</f>
        <v>0</v>
      </c>
      <c r="P189" s="55">
        <f t="shared" si="50"/>
        <v>0</v>
      </c>
      <c r="Q189" s="50" t="str">
        <f>IF(P189=0,"",P189/$P172)</f>
        <v/>
      </c>
      <c r="R189" s="18"/>
    </row>
    <row r="190" spans="2:18" ht="15.75" customHeight="1" x14ac:dyDescent="0.2">
      <c r="B190" s="169"/>
      <c r="C190" s="31" t="s">
        <v>80</v>
      </c>
      <c r="D190" s="47">
        <f>VLOOKUP($B170,[1]Complaints!$A$4:$AJ$39,17,)</f>
        <v>0</v>
      </c>
      <c r="E190" s="48">
        <f>VLOOKUP($B170,[2]Complaints!$A$4:$AJ$39,17,)</f>
        <v>0</v>
      </c>
      <c r="F190" s="48">
        <f>VLOOKUP($B170,[3]Complaints!$A$4:$AJ$39,17,)</f>
        <v>0</v>
      </c>
      <c r="G190" s="48">
        <f>VLOOKUP($B170,[4]Complaints!$A$4:$AJ$39,17,)</f>
        <v>0</v>
      </c>
      <c r="H190" s="48">
        <f>VLOOKUP($B170,[5]Complaints!$A$4:$AJ$39,17,)</f>
        <v>0</v>
      </c>
      <c r="I190" s="48">
        <f>VLOOKUP($B170,[6]Complaints!$A$4:$AJ$39,17,)</f>
        <v>0</v>
      </c>
      <c r="J190" s="48">
        <f>VLOOKUP($B170,[7]Complaints!$A$4:$AJ$39,17,)</f>
        <v>0</v>
      </c>
      <c r="K190" s="48">
        <f>VLOOKUP($B170,[8]Complaints!$A$4:$AJ$39,17,)</f>
        <v>0</v>
      </c>
      <c r="L190" s="48">
        <f>VLOOKUP($B170,[9]Complaints!$A$4:$AJ$39,17,)</f>
        <v>0</v>
      </c>
      <c r="M190" s="48">
        <f>VLOOKUP($B170,[10]Complaints!$A$4:$AJ$39,17,)</f>
        <v>0</v>
      </c>
      <c r="N190" s="48">
        <f>VLOOKUP($B170,[11]Complaints!$A$4:$AJ$39,17,)</f>
        <v>0</v>
      </c>
      <c r="O190" s="49">
        <f>VLOOKUP($B170,[12]Complaints!$A$4:$AJ$39,17,)</f>
        <v>0</v>
      </c>
      <c r="P190" s="55">
        <f t="shared" si="50"/>
        <v>0</v>
      </c>
      <c r="Q190" s="50" t="str">
        <f>IF(P190=0,"",P190/$P172)</f>
        <v/>
      </c>
      <c r="R190" s="18"/>
    </row>
    <row r="191" spans="2:18" ht="15.75" customHeight="1" x14ac:dyDescent="0.2">
      <c r="B191" s="169"/>
      <c r="C191" s="31" t="s">
        <v>81</v>
      </c>
      <c r="D191" s="47">
        <f>VLOOKUP($B170,[1]Complaints!$A$4:$AJ$39,18,)</f>
        <v>0</v>
      </c>
      <c r="E191" s="48">
        <f>VLOOKUP($B170,[2]Complaints!$A$4:$AJ$39,18,)</f>
        <v>0</v>
      </c>
      <c r="F191" s="48">
        <f>VLOOKUP($B170,[3]Complaints!$A$4:$AJ$39,18,)</f>
        <v>0</v>
      </c>
      <c r="G191" s="48">
        <f>VLOOKUP($B170,[4]Complaints!$A$4:$AJ$39,18,)</f>
        <v>0</v>
      </c>
      <c r="H191" s="48">
        <f>VLOOKUP($B170,[5]Complaints!$A$4:$AJ$39,18,)</f>
        <v>0</v>
      </c>
      <c r="I191" s="48">
        <f>VLOOKUP($B170,[6]Complaints!$A$4:$AJ$39,18,)</f>
        <v>0</v>
      </c>
      <c r="J191" s="48">
        <f>VLOOKUP($B170,[7]Complaints!$A$4:$AJ$39,18,)</f>
        <v>0</v>
      </c>
      <c r="K191" s="48">
        <f>VLOOKUP($B170,[8]Complaints!$A$4:$AJ$39,18,)</f>
        <v>0</v>
      </c>
      <c r="L191" s="48">
        <f>VLOOKUP($B170,[9]Complaints!$A$4:$AJ$39,18,)</f>
        <v>0</v>
      </c>
      <c r="M191" s="48">
        <f>VLOOKUP($B170,[10]Complaints!$A$4:$AJ$39,18,)</f>
        <v>0</v>
      </c>
      <c r="N191" s="48">
        <f>VLOOKUP($B170,[11]Complaints!$A$4:$AJ$39,18,)</f>
        <v>0</v>
      </c>
      <c r="O191" s="49">
        <f>VLOOKUP($B170,[12]Complaints!$A$4:$AJ$39,18,)</f>
        <v>0</v>
      </c>
      <c r="P191" s="55">
        <f t="shared" si="50"/>
        <v>0</v>
      </c>
      <c r="Q191" s="50" t="str">
        <f>IF(P191=0,"",P191/$P172)</f>
        <v/>
      </c>
      <c r="R191" s="18"/>
    </row>
    <row r="192" spans="2:18" ht="15.75" customHeight="1" x14ac:dyDescent="0.2">
      <c r="B192" s="169"/>
      <c r="C192" s="31" t="s">
        <v>82</v>
      </c>
      <c r="D192" s="47">
        <f>VLOOKUP($B170,[1]Complaints!$A$4:$AJ$39,19,)</f>
        <v>0</v>
      </c>
      <c r="E192" s="48">
        <f>VLOOKUP($B170,[2]Complaints!$A$4:$AJ$39,19,)</f>
        <v>0</v>
      </c>
      <c r="F192" s="48">
        <f>VLOOKUP($B170,[3]Complaints!$A$4:$AJ$39,19,)</f>
        <v>0</v>
      </c>
      <c r="G192" s="48">
        <f>VLOOKUP($B170,[4]Complaints!$A$4:$AJ$39,19,)</f>
        <v>0</v>
      </c>
      <c r="H192" s="48">
        <f>VLOOKUP($B170,[5]Complaints!$A$4:$AJ$39,19,)</f>
        <v>0</v>
      </c>
      <c r="I192" s="48">
        <f>VLOOKUP($B170,[6]Complaints!$A$4:$AJ$39,19,)</f>
        <v>0</v>
      </c>
      <c r="J192" s="48">
        <f>VLOOKUP($B170,[7]Complaints!$A$4:$AJ$39,19,)</f>
        <v>0</v>
      </c>
      <c r="K192" s="48">
        <f>VLOOKUP($B170,[8]Complaints!$A$4:$AJ$39,19,)</f>
        <v>0</v>
      </c>
      <c r="L192" s="48">
        <f>VLOOKUP($B170,[9]Complaints!$A$4:$AJ$39,19,)</f>
        <v>0</v>
      </c>
      <c r="M192" s="48">
        <f>VLOOKUP($B170,[10]Complaints!$A$4:$AJ$39,19,)</f>
        <v>0</v>
      </c>
      <c r="N192" s="48">
        <f>VLOOKUP($B170,[11]Complaints!$A$4:$AJ$39,19,)</f>
        <v>0</v>
      </c>
      <c r="O192" s="49">
        <f>VLOOKUP($B170,[12]Complaints!$A$4:$AJ$39,19,)</f>
        <v>0</v>
      </c>
      <c r="P192" s="55">
        <f t="shared" si="50"/>
        <v>0</v>
      </c>
      <c r="Q192" s="50" t="str">
        <f>IF(P192=0,"",P192/$P172)</f>
        <v/>
      </c>
      <c r="R192" s="18"/>
    </row>
    <row r="193" spans="1:19" ht="15.75" customHeight="1" thickBot="1" x14ac:dyDescent="0.25">
      <c r="B193" s="170"/>
      <c r="C193" s="31" t="s">
        <v>83</v>
      </c>
      <c r="D193" s="47">
        <f>VLOOKUP($B170,[1]Complaints!$A$4:$AJ$39,20,)</f>
        <v>0</v>
      </c>
      <c r="E193" s="48">
        <f>VLOOKUP($B170,[2]Complaints!$A$4:$AJ$39,20,)</f>
        <v>0</v>
      </c>
      <c r="F193" s="48">
        <f>VLOOKUP($B170,[3]Complaints!$A$4:$AJ$39,20,)</f>
        <v>0</v>
      </c>
      <c r="G193" s="48">
        <f>VLOOKUP($B170,[4]Complaints!$A$4:$AJ$39,20,)</f>
        <v>0</v>
      </c>
      <c r="H193" s="48">
        <f>VLOOKUP($B170,[5]Complaints!$A$4:$AJ$39,20,)</f>
        <v>0</v>
      </c>
      <c r="I193" s="48">
        <f>VLOOKUP($B170,[6]Complaints!$A$4:$AJ$39,20,)</f>
        <v>0</v>
      </c>
      <c r="J193" s="48">
        <f>VLOOKUP($B170,[7]Complaints!$A$4:$AJ$39,20,)</f>
        <v>0</v>
      </c>
      <c r="K193" s="48">
        <f>VLOOKUP($B170,[8]Complaints!$A$4:$AJ$39,20,)</f>
        <v>0</v>
      </c>
      <c r="L193" s="48">
        <f>VLOOKUP($B170,[9]Complaints!$A$4:$AJ$39,20,)</f>
        <v>0</v>
      </c>
      <c r="M193" s="48">
        <f>VLOOKUP($B170,[10]Complaints!$A$4:$AJ$39,20,)</f>
        <v>0</v>
      </c>
      <c r="N193" s="48">
        <f>VLOOKUP($B170,[11]Complaints!$A$4:$AJ$39,20,)</f>
        <v>0</v>
      </c>
      <c r="O193" s="49">
        <f>VLOOKUP($B170,[12]Complaints!$A$4:$AJ$39,20,)</f>
        <v>0</v>
      </c>
      <c r="P193" s="55">
        <f t="shared" si="50"/>
        <v>0</v>
      </c>
      <c r="Q193" s="50" t="str">
        <f>IF(P193=0,"",P193/$P172)</f>
        <v/>
      </c>
      <c r="R193" s="18"/>
    </row>
    <row r="194" spans="1:19" ht="15.75" customHeight="1" x14ac:dyDescent="0.2">
      <c r="B194" s="144" t="s">
        <v>90</v>
      </c>
      <c r="C194" s="37" t="s">
        <v>118</v>
      </c>
      <c r="D194" s="62">
        <f>VLOOKUP($B170,[1]Complaints!$A$4:$AJ$39,21,)</f>
        <v>0</v>
      </c>
      <c r="E194" s="63">
        <f>VLOOKUP($B170,[2]Complaints!$A$4:$AJ$39,21,)</f>
        <v>0</v>
      </c>
      <c r="F194" s="63">
        <f>VLOOKUP($B170,[3]Complaints!$A$4:$AJ$39,21,)</f>
        <v>0</v>
      </c>
      <c r="G194" s="63">
        <f>VLOOKUP($B170,[4]Complaints!$A$4:$AJ$39,21,)</f>
        <v>0</v>
      </c>
      <c r="H194" s="63">
        <f>VLOOKUP($B170,[5]Complaints!$A$4:$AJ$39,21,)</f>
        <v>0</v>
      </c>
      <c r="I194" s="63">
        <f>VLOOKUP($B170,[6]Complaints!$A$4:$AJ$39,21,)</f>
        <v>1</v>
      </c>
      <c r="J194" s="63">
        <f>VLOOKUP($B170,[7]Complaints!$A$4:$AJ$39,21,)</f>
        <v>0</v>
      </c>
      <c r="K194" s="63">
        <f>VLOOKUP($B170,[8]Complaints!$A$4:$AJ$39,21,)</f>
        <v>0</v>
      </c>
      <c r="L194" s="63">
        <f>VLOOKUP($B170,[9]Complaints!$A$4:$AJ$39,21,)</f>
        <v>0</v>
      </c>
      <c r="M194" s="63">
        <f>VLOOKUP($B170,[10]Complaints!$A$4:$AJ$39,21,)</f>
        <v>0</v>
      </c>
      <c r="N194" s="63">
        <f>VLOOKUP($B170,[11]Complaints!$A$4:$AJ$39,21,)</f>
        <v>0</v>
      </c>
      <c r="O194" s="64">
        <f>VLOOKUP($B170,[12]Complaints!$A$4:$AJ$39,21,)</f>
        <v>0</v>
      </c>
      <c r="P194" s="65">
        <f>SUM(D194:O194)</f>
        <v>1</v>
      </c>
      <c r="Q194" s="46">
        <f>IF(P194=0,"",P194/$P178)</f>
        <v>1</v>
      </c>
      <c r="R194" s="18"/>
    </row>
    <row r="195" spans="1:19" ht="15.75" customHeight="1" x14ac:dyDescent="0.2">
      <c r="B195" s="145"/>
      <c r="C195" s="38" t="s">
        <v>77</v>
      </c>
      <c r="D195" s="66">
        <f>VLOOKUP($B170,[1]Complaints!$A$4:$AJ$39,22,)</f>
        <v>0</v>
      </c>
      <c r="E195" s="67">
        <f>VLOOKUP($B170,[2]Complaints!$A$4:$AJ$39,22,)</f>
        <v>0</v>
      </c>
      <c r="F195" s="67">
        <f>VLOOKUP($B170,[3]Complaints!$A$4:$AJ$39,22,)</f>
        <v>0</v>
      </c>
      <c r="G195" s="67">
        <f>VLOOKUP($B170,[4]Complaints!$A$4:$AJ$39,22,)</f>
        <v>0</v>
      </c>
      <c r="H195" s="67">
        <f>VLOOKUP($B170,[5]Complaints!$A$4:$AJ$39,22,)</f>
        <v>0</v>
      </c>
      <c r="I195" s="67">
        <f>VLOOKUP($B170,[6]Complaints!$A$4:$AJ$39,22,)</f>
        <v>0</v>
      </c>
      <c r="J195" s="67">
        <f>VLOOKUP($B170,[7]Complaints!$A$4:$AJ$39,22,)</f>
        <v>0</v>
      </c>
      <c r="K195" s="67">
        <f>VLOOKUP($B170,[8]Complaints!$A$4:$AJ$39,22,)</f>
        <v>0</v>
      </c>
      <c r="L195" s="67">
        <f>VLOOKUP($B170,[9]Complaints!$A$4:$AJ$39,22,)</f>
        <v>0</v>
      </c>
      <c r="M195" s="67">
        <f>VLOOKUP($B170,[10]Complaints!$A$4:$AJ$39,22,)</f>
        <v>0</v>
      </c>
      <c r="N195" s="67">
        <f>VLOOKUP($B170,[11]Complaints!$A$4:$AJ$39,22,)</f>
        <v>0</v>
      </c>
      <c r="O195" s="68">
        <f>VLOOKUP($B170,[12]Complaints!$A$4:$AJ$39,22,)</f>
        <v>0</v>
      </c>
      <c r="P195" s="69">
        <f t="shared" ref="P195:P209" si="51">SUM(D195:O195)</f>
        <v>0</v>
      </c>
      <c r="Q195" s="70" t="str">
        <f>IF(P195=0,"",P195/$P178)</f>
        <v/>
      </c>
      <c r="R195" s="18"/>
    </row>
    <row r="196" spans="1:19" ht="15.75" customHeight="1" x14ac:dyDescent="0.2">
      <c r="B196" s="145"/>
      <c r="C196" s="38" t="s">
        <v>108</v>
      </c>
      <c r="D196" s="66">
        <f>VLOOKUP($B170,[1]Complaints!$A$4:$AJ$39,23,)</f>
        <v>0</v>
      </c>
      <c r="E196" s="67">
        <f>VLOOKUP($B170,[2]Complaints!$A$4:$AJ$39,23,)</f>
        <v>0</v>
      </c>
      <c r="F196" s="67">
        <f>VLOOKUP($B170,[3]Complaints!$A$4:$AJ$39,23,)</f>
        <v>0</v>
      </c>
      <c r="G196" s="67">
        <f>VLOOKUP($B170,[4]Complaints!$A$4:$AJ$39,23,)</f>
        <v>0</v>
      </c>
      <c r="H196" s="67">
        <f>VLOOKUP($B170,[5]Complaints!$A$4:$AJ$39,23,)</f>
        <v>0</v>
      </c>
      <c r="I196" s="67">
        <f>VLOOKUP($B170,[6]Complaints!$A$4:$AJ$39,23,)</f>
        <v>0</v>
      </c>
      <c r="J196" s="67">
        <f>VLOOKUP($B170,[7]Complaints!$A$4:$AJ$39,23,)</f>
        <v>0</v>
      </c>
      <c r="K196" s="67">
        <f>VLOOKUP($B170,[8]Complaints!$A$4:$AJ$39,23,)</f>
        <v>0</v>
      </c>
      <c r="L196" s="67">
        <f>VLOOKUP($B170,[9]Complaints!$A$4:$AJ$39,23,)</f>
        <v>0</v>
      </c>
      <c r="M196" s="67">
        <f>VLOOKUP($B170,[10]Complaints!$A$4:$AJ$39,23,)</f>
        <v>0</v>
      </c>
      <c r="N196" s="67">
        <f>VLOOKUP($B170,[11]Complaints!$A$4:$AJ$39,23,)</f>
        <v>0</v>
      </c>
      <c r="O196" s="68">
        <f>VLOOKUP($B170,[12]Complaints!$A$4:$AJ$39,23,)</f>
        <v>0</v>
      </c>
      <c r="P196" s="69">
        <f t="shared" si="51"/>
        <v>0</v>
      </c>
      <c r="Q196" s="70" t="str">
        <f>IF(P196=0,"",P196/$P178)</f>
        <v/>
      </c>
      <c r="R196" s="18"/>
    </row>
    <row r="197" spans="1:19" ht="15.75" customHeight="1" x14ac:dyDescent="0.2">
      <c r="B197" s="145"/>
      <c r="C197" s="38" t="s">
        <v>88</v>
      </c>
      <c r="D197" s="66">
        <f>VLOOKUP($B170,[1]Complaints!$A$4:$AJ$39,24,)</f>
        <v>0</v>
      </c>
      <c r="E197" s="67">
        <f>VLOOKUP($B170,[2]Complaints!$A$4:$AJ$39,24,)</f>
        <v>0</v>
      </c>
      <c r="F197" s="67">
        <f>VLOOKUP($B170,[3]Complaints!$A$4:$AJ$39,24,)</f>
        <v>0</v>
      </c>
      <c r="G197" s="67">
        <f>VLOOKUP($B170,[4]Complaints!$A$4:$AJ$39,24,)</f>
        <v>0</v>
      </c>
      <c r="H197" s="67">
        <f>VLOOKUP($B170,[5]Complaints!$A$4:$AJ$39,24,)</f>
        <v>0</v>
      </c>
      <c r="I197" s="67">
        <f>VLOOKUP($B170,[6]Complaints!$A$4:$AJ$39,24,)</f>
        <v>0</v>
      </c>
      <c r="J197" s="67">
        <f>VLOOKUP($B170,[7]Complaints!$A$4:$AJ$39,24,)</f>
        <v>0</v>
      </c>
      <c r="K197" s="67">
        <f>VLOOKUP($B170,[8]Complaints!$A$4:$AJ$39,24,)</f>
        <v>0</v>
      </c>
      <c r="L197" s="67">
        <f>VLOOKUP($B170,[9]Complaints!$A$4:$AJ$39,24,)</f>
        <v>0</v>
      </c>
      <c r="M197" s="67">
        <f>VLOOKUP($B170,[10]Complaints!$A$4:$AJ$39,24,)</f>
        <v>0</v>
      </c>
      <c r="N197" s="67">
        <f>VLOOKUP($B170,[11]Complaints!$A$4:$AJ$39,24,)</f>
        <v>0</v>
      </c>
      <c r="O197" s="68">
        <f>VLOOKUP($B170,[12]Complaints!$A$4:$AJ$39,24,)</f>
        <v>0</v>
      </c>
      <c r="P197" s="69">
        <f t="shared" si="51"/>
        <v>0</v>
      </c>
      <c r="Q197" s="70" t="str">
        <f>IF(P197=0,"",P197/$P178)</f>
        <v/>
      </c>
      <c r="R197" s="18"/>
    </row>
    <row r="198" spans="1:19" ht="15.75" customHeight="1" x14ac:dyDescent="0.2">
      <c r="B198" s="145"/>
      <c r="C198" s="38" t="s">
        <v>109</v>
      </c>
      <c r="D198" s="66">
        <f>VLOOKUP($B170,[1]Complaints!$A$4:$AJ$39,25,)</f>
        <v>0</v>
      </c>
      <c r="E198" s="67">
        <f>VLOOKUP($B170,[2]Complaints!$A$4:$AJ$39,25,)</f>
        <v>0</v>
      </c>
      <c r="F198" s="67">
        <f>VLOOKUP($B170,[3]Complaints!$A$4:$AJ$39,25,)</f>
        <v>0</v>
      </c>
      <c r="G198" s="67">
        <f>VLOOKUP($B170,[4]Complaints!$A$4:$AJ$39,25,)</f>
        <v>0</v>
      </c>
      <c r="H198" s="67">
        <f>VLOOKUP($B170,[5]Complaints!$A$4:$AJ$39,25,)</f>
        <v>0</v>
      </c>
      <c r="I198" s="67">
        <f>VLOOKUP($B170,[6]Complaints!$A$4:$AJ$39,25,)</f>
        <v>0</v>
      </c>
      <c r="J198" s="67">
        <f>VLOOKUP($B170,[7]Complaints!$A$4:$AJ$39,25,)</f>
        <v>0</v>
      </c>
      <c r="K198" s="67">
        <f>VLOOKUP($B170,[8]Complaints!$A$4:$AJ$39,25,)</f>
        <v>0</v>
      </c>
      <c r="L198" s="67">
        <f>VLOOKUP($B170,[9]Complaints!$A$4:$AJ$39,25,)</f>
        <v>0</v>
      </c>
      <c r="M198" s="67">
        <f>VLOOKUP($B170,[10]Complaints!$A$4:$AJ$39,25,)</f>
        <v>0</v>
      </c>
      <c r="N198" s="67">
        <f>VLOOKUP($B170,[11]Complaints!$A$4:$AJ$39,25,)</f>
        <v>0</v>
      </c>
      <c r="O198" s="68">
        <f>VLOOKUP($B170,[12]Complaints!$A$4:$AJ$39,25,)</f>
        <v>0</v>
      </c>
      <c r="P198" s="69">
        <f t="shared" si="51"/>
        <v>0</v>
      </c>
      <c r="Q198" s="70" t="str">
        <f>IF(P198=0,"",P198/$P178)</f>
        <v/>
      </c>
      <c r="R198" s="18"/>
    </row>
    <row r="199" spans="1:19" ht="15.75" customHeight="1" x14ac:dyDescent="0.2">
      <c r="A199" s="21"/>
      <c r="B199" s="145"/>
      <c r="C199" s="38" t="s">
        <v>110</v>
      </c>
      <c r="D199" s="66">
        <f>VLOOKUP($B170,[1]Complaints!$A$4:$AJ$39,26,)</f>
        <v>0</v>
      </c>
      <c r="E199" s="67">
        <f>VLOOKUP($B170,[2]Complaints!$A$4:$AJ$39,26,)</f>
        <v>0</v>
      </c>
      <c r="F199" s="67">
        <f>VLOOKUP($B170,[3]Complaints!$A$4:$AJ$39,26,)</f>
        <v>0</v>
      </c>
      <c r="G199" s="67">
        <f>VLOOKUP($B170,[4]Complaints!$A$4:$AJ$39,26,)</f>
        <v>0</v>
      </c>
      <c r="H199" s="67">
        <f>VLOOKUP($B170,[5]Complaints!$A$4:$AJ$39,26,)</f>
        <v>0</v>
      </c>
      <c r="I199" s="67">
        <f>VLOOKUP($B170,[6]Complaints!$A$4:$AJ$39,26,)</f>
        <v>0</v>
      </c>
      <c r="J199" s="67">
        <f>VLOOKUP($B170,[7]Complaints!$A$4:$AJ$39,26,)</f>
        <v>0</v>
      </c>
      <c r="K199" s="67">
        <f>VLOOKUP($B170,[8]Complaints!$A$4:$AJ$39,26,)</f>
        <v>0</v>
      </c>
      <c r="L199" s="67">
        <f>VLOOKUP($B170,[9]Complaints!$A$4:$AJ$39,26,)</f>
        <v>0</v>
      </c>
      <c r="M199" s="67">
        <f>VLOOKUP($B170,[10]Complaints!$A$4:$AJ$39,26,)</f>
        <v>0</v>
      </c>
      <c r="N199" s="67">
        <f>VLOOKUP($B170,[11]Complaints!$A$4:$AJ$39,26,)</f>
        <v>0</v>
      </c>
      <c r="O199" s="68">
        <f>VLOOKUP($B170,[12]Complaints!$A$4:$AJ$39,26,)</f>
        <v>0</v>
      </c>
      <c r="P199" s="69">
        <f t="shared" si="51"/>
        <v>0</v>
      </c>
      <c r="Q199" s="70" t="str">
        <f>IF(P199=0,"",P199/$P178)</f>
        <v/>
      </c>
      <c r="R199" s="18"/>
    </row>
    <row r="200" spans="1:19" s="21" customFormat="1" ht="15.75" customHeight="1" x14ac:dyDescent="0.2">
      <c r="B200" s="145"/>
      <c r="C200" s="39" t="s">
        <v>107</v>
      </c>
      <c r="D200" s="71">
        <f>VLOOKUP($B170,[1]Complaints!$A$4:$AJ$39,27,)</f>
        <v>0</v>
      </c>
      <c r="E200" s="72">
        <f>VLOOKUP($B170,[2]Complaints!$A$4:$AJ$39,27,)</f>
        <v>0</v>
      </c>
      <c r="F200" s="72">
        <f>VLOOKUP($B170,[3]Complaints!$A$4:$AJ$39,27,)</f>
        <v>0</v>
      </c>
      <c r="G200" s="72">
        <f>VLOOKUP($B170,[4]Complaints!$A$4:$AJ$39,27,)</f>
        <v>0</v>
      </c>
      <c r="H200" s="72">
        <f>VLOOKUP($B170,[5]Complaints!$A$4:$AJ$39,27,)</f>
        <v>0</v>
      </c>
      <c r="I200" s="72">
        <f>VLOOKUP($B170,[6]Complaints!$A$4:$AJ$39,27,)</f>
        <v>0</v>
      </c>
      <c r="J200" s="72">
        <f>VLOOKUP($B170,[7]Complaints!$A$4:$AJ$39,27,)</f>
        <v>0</v>
      </c>
      <c r="K200" s="72">
        <f>VLOOKUP($B170,[8]Complaints!$A$4:$AJ$39,27,)</f>
        <v>0</v>
      </c>
      <c r="L200" s="72">
        <f>VLOOKUP($B170,[9]Complaints!$A$4:$AJ$39,27,)</f>
        <v>0</v>
      </c>
      <c r="M200" s="72">
        <f>VLOOKUP($B170,[10]Complaints!$A$4:$AJ$39,27,)</f>
        <v>0</v>
      </c>
      <c r="N200" s="72">
        <f>VLOOKUP($B170,[11]Complaints!$A$4:$AJ$39,27,)</f>
        <v>0</v>
      </c>
      <c r="O200" s="73">
        <f>VLOOKUP($B170,[12]Complaints!$A$4:$AJ$39,27,)</f>
        <v>0</v>
      </c>
      <c r="P200" s="69">
        <f t="shared" si="51"/>
        <v>0</v>
      </c>
      <c r="Q200" s="70" t="str">
        <f>IF(P200=0,"",P200/$P178)</f>
        <v/>
      </c>
      <c r="S200" s="18"/>
    </row>
    <row r="201" spans="1:19" ht="15.75" customHeight="1" x14ac:dyDescent="0.2">
      <c r="B201" s="145"/>
      <c r="C201" s="39" t="s">
        <v>87</v>
      </c>
      <c r="D201" s="71">
        <f>VLOOKUP($B170,[1]Complaints!$A$4:$AJ$39,28,)</f>
        <v>0</v>
      </c>
      <c r="E201" s="72">
        <f>VLOOKUP($B170,[2]Complaints!$A$4:$AJ$39,28,)</f>
        <v>0</v>
      </c>
      <c r="F201" s="72">
        <f>VLOOKUP($B170,[3]Complaints!$A$4:$AJ$39,28,)</f>
        <v>0</v>
      </c>
      <c r="G201" s="72">
        <f>VLOOKUP($B170,[4]Complaints!$A$4:$AJ$39,28,)</f>
        <v>0</v>
      </c>
      <c r="H201" s="72">
        <f>VLOOKUP($B170,[5]Complaints!$A$4:$AJ$39,28,)</f>
        <v>0</v>
      </c>
      <c r="I201" s="72">
        <f>VLOOKUP($B170,[6]Complaints!$A$4:$AJ$39,28,)</f>
        <v>1</v>
      </c>
      <c r="J201" s="72">
        <f>VLOOKUP($B170,[7]Complaints!$A$4:$AJ$39,28,)</f>
        <v>0</v>
      </c>
      <c r="K201" s="72">
        <f>VLOOKUP($B170,[8]Complaints!$A$4:$AJ$39,28,)</f>
        <v>0</v>
      </c>
      <c r="L201" s="72">
        <f>VLOOKUP($B170,[9]Complaints!$A$4:$AJ$39,28,)</f>
        <v>0</v>
      </c>
      <c r="M201" s="72">
        <f>VLOOKUP($B170,[10]Complaints!$A$4:$AJ$39,28,)</f>
        <v>0</v>
      </c>
      <c r="N201" s="72">
        <f>VLOOKUP($B170,[11]Complaints!$A$4:$AJ$39,28,)</f>
        <v>0</v>
      </c>
      <c r="O201" s="73">
        <f>VLOOKUP($B170,[12]Complaints!$A$4:$AJ$39,28,)</f>
        <v>0</v>
      </c>
      <c r="P201" s="69">
        <f t="shared" si="51"/>
        <v>1</v>
      </c>
      <c r="Q201" s="70">
        <f>IF(P201=0,"",P201/$P178)</f>
        <v>1</v>
      </c>
      <c r="R201" s="18"/>
    </row>
    <row r="202" spans="1:19" ht="15.75" customHeight="1" x14ac:dyDescent="0.2">
      <c r="B202" s="145"/>
      <c r="C202" s="38" t="s">
        <v>111</v>
      </c>
      <c r="D202" s="66">
        <f>VLOOKUP($B170,[1]Complaints!$A$4:$AJ$39,29,)</f>
        <v>0</v>
      </c>
      <c r="E202" s="67">
        <f>VLOOKUP($B170,[2]Complaints!$A$4:$AJ$39,29,)</f>
        <v>0</v>
      </c>
      <c r="F202" s="67">
        <f>VLOOKUP($B170,[3]Complaints!$A$4:$AJ$39,29,)</f>
        <v>0</v>
      </c>
      <c r="G202" s="67">
        <f>VLOOKUP($B170,[4]Complaints!$A$4:$AJ$39,29,)</f>
        <v>0</v>
      </c>
      <c r="H202" s="67">
        <f>VLOOKUP($B170,[5]Complaints!$A$4:$AJ$39,29,)</f>
        <v>0</v>
      </c>
      <c r="I202" s="67">
        <f>VLOOKUP($B170,[6]Complaints!$A$4:$AJ$39,29,)</f>
        <v>0</v>
      </c>
      <c r="J202" s="67">
        <f>VLOOKUP($B170,[7]Complaints!$A$4:$AJ$39,29,)</f>
        <v>0</v>
      </c>
      <c r="K202" s="67">
        <f>VLOOKUP($B170,[8]Complaints!$A$4:$AJ$39,29,)</f>
        <v>0</v>
      </c>
      <c r="L202" s="67">
        <f>VLOOKUP($B170,[9]Complaints!$A$4:$AJ$39,29,)</f>
        <v>0</v>
      </c>
      <c r="M202" s="67">
        <f>VLOOKUP($B170,[10]Complaints!$A$4:$AJ$39,29,)</f>
        <v>0</v>
      </c>
      <c r="N202" s="67">
        <f>VLOOKUP($B170,[11]Complaints!$A$4:$AJ$39,29,)</f>
        <v>0</v>
      </c>
      <c r="O202" s="68">
        <f>VLOOKUP($B170,[12]Complaints!$A$4:$AJ$39,29,)</f>
        <v>0</v>
      </c>
      <c r="P202" s="69">
        <f t="shared" si="51"/>
        <v>0</v>
      </c>
      <c r="Q202" s="70" t="str">
        <f>IF(P202=0,"",P202/$P178)</f>
        <v/>
      </c>
      <c r="R202" s="18"/>
    </row>
    <row r="203" spans="1:19" ht="15.75" customHeight="1" x14ac:dyDescent="0.2">
      <c r="B203" s="145"/>
      <c r="C203" s="38" t="s">
        <v>112</v>
      </c>
      <c r="D203" s="66">
        <f>VLOOKUP($B170,[1]Complaints!$A$4:$AJ$39,30,)</f>
        <v>0</v>
      </c>
      <c r="E203" s="67">
        <f>VLOOKUP($B170,[2]Complaints!$A$4:$AJ$39,30,)</f>
        <v>0</v>
      </c>
      <c r="F203" s="67">
        <f>VLOOKUP($B170,[3]Complaints!$A$4:$AJ$39,30,)</f>
        <v>0</v>
      </c>
      <c r="G203" s="67">
        <f>VLOOKUP($B170,[4]Complaints!$A$4:$AJ$39,30,)</f>
        <v>0</v>
      </c>
      <c r="H203" s="67">
        <f>VLOOKUP($B170,[5]Complaints!$A$4:$AJ$39,30,)</f>
        <v>0</v>
      </c>
      <c r="I203" s="67">
        <f>VLOOKUP($B170,[6]Complaints!$A$4:$AJ$39,30,)</f>
        <v>0</v>
      </c>
      <c r="J203" s="67">
        <f>VLOOKUP($B170,[7]Complaints!$A$4:$AJ$39,30,)</f>
        <v>0</v>
      </c>
      <c r="K203" s="67">
        <f>VLOOKUP($B170,[8]Complaints!$A$4:$AJ$39,30,)</f>
        <v>0</v>
      </c>
      <c r="L203" s="67">
        <f>VLOOKUP($B170,[9]Complaints!$A$4:$AJ$39,30,)</f>
        <v>0</v>
      </c>
      <c r="M203" s="67">
        <f>VLOOKUP($B170,[10]Complaints!$A$4:$AJ$39,30,)</f>
        <v>0</v>
      </c>
      <c r="N203" s="67">
        <f>VLOOKUP($B170,[11]Complaints!$A$4:$AJ$39,30,)</f>
        <v>0</v>
      </c>
      <c r="O203" s="68">
        <f>VLOOKUP($B170,[12]Complaints!$A$4:$AJ$39,30,)</f>
        <v>0</v>
      </c>
      <c r="P203" s="69">
        <f t="shared" si="51"/>
        <v>0</v>
      </c>
      <c r="Q203" s="70" t="str">
        <f>IF(P203=0,"",P203/$P178)</f>
        <v/>
      </c>
      <c r="R203" s="18"/>
    </row>
    <row r="204" spans="1:19" ht="15.75" customHeight="1" x14ac:dyDescent="0.2">
      <c r="B204" s="146"/>
      <c r="C204" s="40" t="s">
        <v>119</v>
      </c>
      <c r="D204" s="74">
        <f>VLOOKUP($B170,[1]Complaints!$A$4:$AJ$39,31,)</f>
        <v>0</v>
      </c>
      <c r="E204" s="75">
        <f>VLOOKUP($B170,[2]Complaints!$A$4:$AJ$39,31,)</f>
        <v>0</v>
      </c>
      <c r="F204" s="75">
        <f>VLOOKUP($B170,[3]Complaints!$A$4:$AJ$39,31,)</f>
        <v>0</v>
      </c>
      <c r="G204" s="75">
        <f>VLOOKUP($B170,[4]Complaints!$A$4:$AJ$39,31,)</f>
        <v>0</v>
      </c>
      <c r="H204" s="75">
        <f>VLOOKUP($B170,[5]Complaints!$A$4:$AJ$39,31,)</f>
        <v>0</v>
      </c>
      <c r="I204" s="75">
        <f>VLOOKUP($B170,[6]Complaints!$A$4:$AJ$39,31,)</f>
        <v>0</v>
      </c>
      <c r="J204" s="75">
        <f>VLOOKUP($B170,[7]Complaints!$A$4:$AJ$39,31,)</f>
        <v>0</v>
      </c>
      <c r="K204" s="75">
        <f>VLOOKUP($B170,[8]Complaints!$A$4:$AJ$39,31,)</f>
        <v>0</v>
      </c>
      <c r="L204" s="75">
        <f>VLOOKUP($B170,[9]Complaints!$A$4:$AJ$39,31,)</f>
        <v>0</v>
      </c>
      <c r="M204" s="75">
        <f>VLOOKUP($B170,[10]Complaints!$A$4:$AJ$39,31,)</f>
        <v>0</v>
      </c>
      <c r="N204" s="75">
        <f>VLOOKUP($B170,[11]Complaints!$A$4:$AJ$39,31,)</f>
        <v>0</v>
      </c>
      <c r="O204" s="76">
        <f>VLOOKUP($B170,[12]Complaints!$A$4:$AJ$39,31,)</f>
        <v>0</v>
      </c>
      <c r="P204" s="77">
        <f t="shared" si="51"/>
        <v>0</v>
      </c>
      <c r="Q204" s="50" t="str">
        <f>IF(P204=0,"",P204/$P178)</f>
        <v/>
      </c>
      <c r="R204" s="18"/>
    </row>
    <row r="205" spans="1:19" ht="15.75" customHeight="1" x14ac:dyDescent="0.2">
      <c r="B205" s="146"/>
      <c r="C205" s="38" t="s">
        <v>113</v>
      </c>
      <c r="D205" s="66">
        <f>VLOOKUP($B170,[1]Complaints!$A$4:$AJ$39,32,)</f>
        <v>0</v>
      </c>
      <c r="E205" s="67">
        <f>VLOOKUP($B170,[2]Complaints!$A$4:$AJ$39,32,)</f>
        <v>0</v>
      </c>
      <c r="F205" s="67">
        <f>VLOOKUP($B170,[3]Complaints!$A$4:$AJ$39,32,)</f>
        <v>0</v>
      </c>
      <c r="G205" s="67">
        <f>VLOOKUP($B170,[4]Complaints!$A$4:$AJ$39,32,)</f>
        <v>0</v>
      </c>
      <c r="H205" s="67">
        <f>VLOOKUP($B170,[5]Complaints!$A$4:$AJ$39,32,)</f>
        <v>0</v>
      </c>
      <c r="I205" s="67">
        <f>VLOOKUP($B170,[6]Complaints!$A$4:$AJ$39,32,)</f>
        <v>0</v>
      </c>
      <c r="J205" s="67">
        <f>VLOOKUP($B170,[7]Complaints!$A$4:$AJ$39,32,)</f>
        <v>0</v>
      </c>
      <c r="K205" s="67">
        <f>VLOOKUP($B170,[8]Complaints!$A$4:$AJ$39,32,)</f>
        <v>0</v>
      </c>
      <c r="L205" s="67">
        <f>VLOOKUP($B170,[9]Complaints!$A$4:$AJ$39,32,)</f>
        <v>0</v>
      </c>
      <c r="M205" s="67">
        <f>VLOOKUP($B170,[10]Complaints!$A$4:$AJ$39,32,)</f>
        <v>0</v>
      </c>
      <c r="N205" s="67">
        <f>VLOOKUP($B170,[11]Complaints!$A$4:$AJ$39,32,)</f>
        <v>0</v>
      </c>
      <c r="O205" s="68">
        <f>VLOOKUP($B170,[12]Complaints!$A$4:$AJ$39,32,)</f>
        <v>0</v>
      </c>
      <c r="P205" s="69">
        <f t="shared" si="51"/>
        <v>0</v>
      </c>
      <c r="Q205" s="70" t="str">
        <f>IF(P205=0,"",P205/$P178)</f>
        <v/>
      </c>
      <c r="R205" s="18"/>
    </row>
    <row r="206" spans="1:19" ht="15.75" customHeight="1" x14ac:dyDescent="0.2">
      <c r="B206" s="146"/>
      <c r="C206" s="38" t="s">
        <v>114</v>
      </c>
      <c r="D206" s="66">
        <f>VLOOKUP($B170,[1]Complaints!$A$4:$AJ$39,33,)</f>
        <v>0</v>
      </c>
      <c r="E206" s="67">
        <f>VLOOKUP($B170,[2]Complaints!$A$4:$AJ$39,33,)</f>
        <v>0</v>
      </c>
      <c r="F206" s="67">
        <f>VLOOKUP($B170,[3]Complaints!$A$4:$AJ$39,33,)</f>
        <v>0</v>
      </c>
      <c r="G206" s="67">
        <f>VLOOKUP($B170,[4]Complaints!$A$4:$AJ$39,33,)</f>
        <v>0</v>
      </c>
      <c r="H206" s="67">
        <f>VLOOKUP($B170,[5]Complaints!$A$4:$AJ$39,33,)</f>
        <v>0</v>
      </c>
      <c r="I206" s="67">
        <f>VLOOKUP($B170,[6]Complaints!$A$4:$AJ$39,33,)</f>
        <v>0</v>
      </c>
      <c r="J206" s="67">
        <f>VLOOKUP($B170,[7]Complaints!$A$4:$AJ$39,33,)</f>
        <v>0</v>
      </c>
      <c r="K206" s="67">
        <f>VLOOKUP($B170,[8]Complaints!$A$4:$AJ$39,33,)</f>
        <v>0</v>
      </c>
      <c r="L206" s="67">
        <f>VLOOKUP($B170,[9]Complaints!$A$4:$AJ$39,33,)</f>
        <v>0</v>
      </c>
      <c r="M206" s="67">
        <f>VLOOKUP($B170,[10]Complaints!$A$4:$AJ$39,33,)</f>
        <v>0</v>
      </c>
      <c r="N206" s="67">
        <f>VLOOKUP($B170,[11]Complaints!$A$4:$AJ$39,33,)</f>
        <v>0</v>
      </c>
      <c r="O206" s="68">
        <f>VLOOKUP($B170,[12]Complaints!$A$4:$AJ$39,33,)</f>
        <v>0</v>
      </c>
      <c r="P206" s="69">
        <f t="shared" si="51"/>
        <v>0</v>
      </c>
      <c r="Q206" s="70" t="str">
        <f>IF(P206=0,"",P206/$P178)</f>
        <v/>
      </c>
      <c r="R206" s="18"/>
    </row>
    <row r="207" spans="1:19" ht="15.75" customHeight="1" x14ac:dyDescent="0.2">
      <c r="B207" s="146"/>
      <c r="C207" s="38" t="s">
        <v>115</v>
      </c>
      <c r="D207" s="66">
        <f>VLOOKUP($B170,[1]Complaints!$A$4:$AJ$39,34,)</f>
        <v>0</v>
      </c>
      <c r="E207" s="67">
        <f>VLOOKUP($B170,[2]Complaints!$A$4:$AJ$39,34,)</f>
        <v>0</v>
      </c>
      <c r="F207" s="67">
        <f>VLOOKUP($B170,[3]Complaints!$A$4:$AJ$39,34,)</f>
        <v>0</v>
      </c>
      <c r="G207" s="67">
        <f>VLOOKUP($B170,[4]Complaints!$A$4:$AJ$39,34,)</f>
        <v>0</v>
      </c>
      <c r="H207" s="67">
        <f>VLOOKUP($B170,[5]Complaints!$A$4:$AJ$39,34,)</f>
        <v>0</v>
      </c>
      <c r="I207" s="67">
        <f>VLOOKUP($B170,[6]Complaints!$A$4:$AJ$39,34,)</f>
        <v>0</v>
      </c>
      <c r="J207" s="67">
        <f>VLOOKUP($B170,[7]Complaints!$A$4:$AJ$39,34,)</f>
        <v>0</v>
      </c>
      <c r="K207" s="67">
        <f>VLOOKUP($B170,[8]Complaints!$A$4:$AJ$39,34,)</f>
        <v>0</v>
      </c>
      <c r="L207" s="67">
        <f>VLOOKUP($B170,[9]Complaints!$A$4:$AJ$39,34,)</f>
        <v>0</v>
      </c>
      <c r="M207" s="67">
        <f>VLOOKUP($B170,[10]Complaints!$A$4:$AJ$39,34,)</f>
        <v>0</v>
      </c>
      <c r="N207" s="67">
        <f>VLOOKUP($B170,[11]Complaints!$A$4:$AJ$39,34,)</f>
        <v>0</v>
      </c>
      <c r="O207" s="68">
        <f>VLOOKUP($B170,[12]Complaints!$A$4:$AJ$39,34,)</f>
        <v>0</v>
      </c>
      <c r="P207" s="69">
        <f t="shared" si="51"/>
        <v>0</v>
      </c>
      <c r="Q207" s="70" t="str">
        <f>IF(P207=0,"",P207/$P178)</f>
        <v/>
      </c>
      <c r="R207" s="18"/>
    </row>
    <row r="208" spans="1:19" ht="15.75" customHeight="1" x14ac:dyDescent="0.2">
      <c r="B208" s="146"/>
      <c r="C208" s="38" t="s">
        <v>116</v>
      </c>
      <c r="D208" s="66">
        <f>VLOOKUP($B170,[1]Complaints!$A$4:$AJ$39,35,)</f>
        <v>0</v>
      </c>
      <c r="E208" s="67">
        <f>VLOOKUP($B170,[2]Complaints!$A$4:$AJ$39,35,)</f>
        <v>0</v>
      </c>
      <c r="F208" s="67">
        <f>VLOOKUP($B170,[3]Complaints!$A$4:$AJ$39,35,)</f>
        <v>0</v>
      </c>
      <c r="G208" s="67">
        <f>VLOOKUP($B170,[4]Complaints!$A$4:$AJ$39,35,)</f>
        <v>0</v>
      </c>
      <c r="H208" s="67">
        <f>VLOOKUP($B170,[5]Complaints!$A$4:$AJ$39,35,)</f>
        <v>0</v>
      </c>
      <c r="I208" s="67">
        <f>VLOOKUP($B170,[6]Complaints!$A$4:$AJ$39,35,)</f>
        <v>0</v>
      </c>
      <c r="J208" s="67">
        <f>VLOOKUP($B170,[7]Complaints!$A$4:$AJ$39,35,)</f>
        <v>0</v>
      </c>
      <c r="K208" s="67">
        <f>VLOOKUP($B170,[8]Complaints!$A$4:$AJ$39,35,)</f>
        <v>0</v>
      </c>
      <c r="L208" s="67">
        <f>VLOOKUP($B170,[9]Complaints!$A$4:$AJ$39,35,)</f>
        <v>0</v>
      </c>
      <c r="M208" s="67">
        <f>VLOOKUP($B170,[10]Complaints!$A$4:$AJ$39,35,)</f>
        <v>0</v>
      </c>
      <c r="N208" s="67">
        <f>VLOOKUP($B170,[11]Complaints!$A$4:$AJ$39,35,)</f>
        <v>0</v>
      </c>
      <c r="O208" s="68">
        <f>VLOOKUP($B170,[12]Complaints!$A$4:$AJ$39,35,)</f>
        <v>0</v>
      </c>
      <c r="P208" s="69">
        <f t="shared" si="51"/>
        <v>0</v>
      </c>
      <c r="Q208" s="70" t="str">
        <f>IF(P208=0,"",P208/$P178)</f>
        <v/>
      </c>
      <c r="R208" s="18"/>
    </row>
    <row r="209" spans="2:19" ht="15.75" customHeight="1" thickBot="1" x14ac:dyDescent="0.25">
      <c r="B209" s="147"/>
      <c r="C209" s="41" t="s">
        <v>117</v>
      </c>
      <c r="D209" s="78">
        <f>VLOOKUP($B170,[1]Complaints!$A$4:$AJ$39,36,)</f>
        <v>0</v>
      </c>
      <c r="E209" s="79">
        <f>VLOOKUP($B170,[2]Complaints!$A$4:$AJ$39,36,)</f>
        <v>0</v>
      </c>
      <c r="F209" s="79">
        <f>VLOOKUP($B170,[3]Complaints!$A$4:$AJ$39,36,)</f>
        <v>0</v>
      </c>
      <c r="G209" s="79">
        <f>VLOOKUP($B170,[4]Complaints!$A$4:$AJ$39,36,)</f>
        <v>0</v>
      </c>
      <c r="H209" s="79">
        <f>VLOOKUP($B170,[5]Complaints!$A$4:$AJ$39,36,)</f>
        <v>0</v>
      </c>
      <c r="I209" s="79">
        <f>VLOOKUP($B170,[6]Complaints!$A$4:$AJ$39,36,)</f>
        <v>0</v>
      </c>
      <c r="J209" s="79">
        <f>VLOOKUP($B170,[7]Complaints!$A$4:$AJ$39,36,)</f>
        <v>0</v>
      </c>
      <c r="K209" s="79">
        <f>VLOOKUP($B170,[8]Complaints!$A$4:$AJ$39,36,)</f>
        <v>0</v>
      </c>
      <c r="L209" s="79">
        <f>VLOOKUP($B170,[9]Complaints!$A$4:$AJ$39,36,)</f>
        <v>0</v>
      </c>
      <c r="M209" s="79">
        <f>VLOOKUP($B170,[10]Complaints!$A$4:$AJ$39,36,)</f>
        <v>0</v>
      </c>
      <c r="N209" s="79">
        <f>VLOOKUP($B170,[11]Complaints!$A$4:$AJ$39,36,)</f>
        <v>0</v>
      </c>
      <c r="O209" s="80">
        <f>VLOOKUP($B170,[12]Complaints!$A$4:$AJ$39,36,)</f>
        <v>0</v>
      </c>
      <c r="P209" s="81">
        <f t="shared" si="51"/>
        <v>0</v>
      </c>
      <c r="Q209" s="82" t="str">
        <f>IF(P209=0,"",P209/$P178)</f>
        <v/>
      </c>
      <c r="R209" s="18"/>
    </row>
    <row r="210" spans="2:19" ht="15.75" customHeight="1" thickBot="1" x14ac:dyDescent="0.25">
      <c r="R210" s="18"/>
    </row>
    <row r="211" spans="2:19" ht="15.75" customHeight="1" x14ac:dyDescent="0.25">
      <c r="B211" s="158" t="s">
        <v>17</v>
      </c>
      <c r="C211" s="159"/>
      <c r="D211" s="32" t="s">
        <v>0</v>
      </c>
      <c r="E211" s="20" t="s">
        <v>1</v>
      </c>
      <c r="F211" s="20" t="s">
        <v>2</v>
      </c>
      <c r="G211" s="20" t="s">
        <v>3</v>
      </c>
      <c r="H211" s="20" t="s">
        <v>4</v>
      </c>
      <c r="I211" s="20" t="s">
        <v>5</v>
      </c>
      <c r="J211" s="20" t="s">
        <v>6</v>
      </c>
      <c r="K211" s="20" t="s">
        <v>7</v>
      </c>
      <c r="L211" s="20" t="s">
        <v>8</v>
      </c>
      <c r="M211" s="20" t="s">
        <v>9</v>
      </c>
      <c r="N211" s="20" t="s">
        <v>10</v>
      </c>
      <c r="O211" s="33" t="s">
        <v>11</v>
      </c>
      <c r="P211" s="35" t="s">
        <v>12</v>
      </c>
      <c r="Q211" s="160" t="s">
        <v>104</v>
      </c>
      <c r="R211" s="18"/>
    </row>
    <row r="212" spans="2:19" ht="15.75" customHeight="1" thickBot="1" x14ac:dyDescent="0.3">
      <c r="B212" s="162" t="s">
        <v>70</v>
      </c>
      <c r="C212" s="163"/>
      <c r="D212" s="34">
        <v>2020</v>
      </c>
      <c r="E212" s="34">
        <v>2020</v>
      </c>
      <c r="F212" s="34">
        <v>2020</v>
      </c>
      <c r="G212" s="34">
        <v>2020</v>
      </c>
      <c r="H212" s="34">
        <v>2020</v>
      </c>
      <c r="I212" s="34">
        <v>2020</v>
      </c>
      <c r="J212" s="34">
        <v>2020</v>
      </c>
      <c r="K212" s="34">
        <v>2020</v>
      </c>
      <c r="L212" s="34">
        <v>2020</v>
      </c>
      <c r="M212" s="25">
        <v>2021</v>
      </c>
      <c r="N212" s="25">
        <v>2021</v>
      </c>
      <c r="O212" s="25">
        <v>2021</v>
      </c>
      <c r="P212" s="36" t="s">
        <v>122</v>
      </c>
      <c r="Q212" s="161"/>
      <c r="R212" s="18"/>
      <c r="S212" s="19"/>
    </row>
    <row r="213" spans="2:19" ht="12.75" customHeight="1" thickBot="1" x14ac:dyDescent="0.25">
      <c r="B213" s="164" t="s">
        <v>38</v>
      </c>
      <c r="C213" s="165"/>
      <c r="D213" s="42">
        <f>VLOOKUP($B212,[1]Complaints!$A$4:$AJ$39,2,)</f>
        <v>667</v>
      </c>
      <c r="E213" s="43">
        <f>VLOOKUP($B212,[2]Complaints!$A$4:$AJ$39,2,)</f>
        <v>910</v>
      </c>
      <c r="F213" s="43">
        <f>VLOOKUP($B212,[3]Complaints!$A$4:$AJ$39,2)</f>
        <v>1446</v>
      </c>
      <c r="G213" s="43">
        <f>VLOOKUP($B212,[4]Complaints!$A$4:$AJ$39,2)</f>
        <v>2218</v>
      </c>
      <c r="H213" s="43">
        <f>VLOOKUP($B212,[5]Complaints!$A$4:$AJ$39,2)</f>
        <v>2619</v>
      </c>
      <c r="I213" s="43">
        <f>VLOOKUP($B212,[6]Complaints!$A$4:$AJ$39,2)</f>
        <v>2823</v>
      </c>
      <c r="J213" s="43">
        <f>VLOOKUP($B212,[7]Complaints!$A$4:$AJ$39,2)</f>
        <v>2953</v>
      </c>
      <c r="K213" s="43">
        <f>VLOOKUP($B212,[8]Complaints!$A$4:$AJ$39,2)</f>
        <v>2953</v>
      </c>
      <c r="L213" s="43">
        <f>VLOOKUP($B212,[9]Complaints!$A$4:$AJ$39,2)</f>
        <v>2654</v>
      </c>
      <c r="M213" s="43">
        <f>VLOOKUP($B212,[10]Complaints!$A$4:$AJ$39,2)</f>
        <v>1854</v>
      </c>
      <c r="N213" s="43">
        <f>VLOOKUP($B212,[11]Complaints!$A$4:$AJ$39,2)</f>
        <v>0</v>
      </c>
      <c r="O213" s="44">
        <f>VLOOKUP($B212,[12]Complaints!$A$4:$AJ$39,2)</f>
        <v>0</v>
      </c>
      <c r="P213" s="45">
        <f>SUM(D213:O213)</f>
        <v>21097</v>
      </c>
      <c r="Q213" s="46"/>
      <c r="R213" s="18"/>
    </row>
    <row r="214" spans="2:19" ht="15.75" customHeight="1" x14ac:dyDescent="0.2">
      <c r="B214" s="166" t="s">
        <v>94</v>
      </c>
      <c r="C214" s="167"/>
      <c r="D214" s="47">
        <f>VLOOKUP($B212,[1]Complaints!$A$4:$AF$39,3,)</f>
        <v>1</v>
      </c>
      <c r="E214" s="48">
        <f>VLOOKUP($B212,[2]Complaints!$A$4:$AF$39,3,)</f>
        <v>3</v>
      </c>
      <c r="F214" s="48">
        <f>VLOOKUP($B212,[3]Complaints!$A$4:$AG$39,3,)</f>
        <v>1</v>
      </c>
      <c r="G214" s="48">
        <f>VLOOKUP($B212,[4]Complaints!$A$4:$AG$39,3,)</f>
        <v>0</v>
      </c>
      <c r="H214" s="48">
        <f>VLOOKUP($B212,[5]Complaints!$A$4:$AG$39,3,)</f>
        <v>2</v>
      </c>
      <c r="I214" s="48">
        <f>VLOOKUP($B212,[6]Complaints!$A$4:$AG$39,3,)</f>
        <v>5</v>
      </c>
      <c r="J214" s="48">
        <f>VLOOKUP($B212,[7]Complaints!$A$4:$AG$39,3,)</f>
        <v>4</v>
      </c>
      <c r="K214" s="48">
        <f>VLOOKUP($B212,[8]Complaints!$A$4:$AG$39,3,)</f>
        <v>4</v>
      </c>
      <c r="L214" s="48">
        <f>VLOOKUP($B212,[9]Complaints!$A$4:$AG$39,3,)</f>
        <v>4</v>
      </c>
      <c r="M214" s="48">
        <f>VLOOKUP($B212,[10]Complaints!$A$4:$AG$39,3,)</f>
        <v>0</v>
      </c>
      <c r="N214" s="48">
        <f>VLOOKUP($B212,[11]Complaints!$A$4:$AG$39,3,)</f>
        <v>0</v>
      </c>
      <c r="O214" s="49">
        <f>VLOOKUP($B212,[12]Complaints!$A$4:$AG$39,3,)</f>
        <v>0</v>
      </c>
      <c r="P214" s="45">
        <f>SUM(D214:O214)</f>
        <v>24</v>
      </c>
      <c r="Q214" s="50"/>
      <c r="R214" s="18"/>
    </row>
    <row r="215" spans="2:19" ht="15.75" customHeight="1" x14ac:dyDescent="0.2">
      <c r="B215" s="26"/>
      <c r="C215" s="28" t="s">
        <v>102</v>
      </c>
      <c r="D215" s="51">
        <f>IF(D213=0,"",D214/D213)</f>
        <v>1.4992503748125937E-3</v>
      </c>
      <c r="E215" s="52">
        <f t="shared" ref="E215:O215" si="52">IF(E213=0,"",E214/E213)</f>
        <v>3.2967032967032967E-3</v>
      </c>
      <c r="F215" s="52">
        <f t="shared" si="52"/>
        <v>6.9156293222683268E-4</v>
      </c>
      <c r="G215" s="52">
        <f t="shared" si="52"/>
        <v>0</v>
      </c>
      <c r="H215" s="52">
        <f t="shared" si="52"/>
        <v>7.6365024818633069E-4</v>
      </c>
      <c r="I215" s="52">
        <f t="shared" si="52"/>
        <v>1.7711654268508679E-3</v>
      </c>
      <c r="J215" s="52">
        <f t="shared" si="52"/>
        <v>1.3545546901456147E-3</v>
      </c>
      <c r="K215" s="52">
        <f t="shared" si="52"/>
        <v>1.3545546901456147E-3</v>
      </c>
      <c r="L215" s="52">
        <f t="shared" si="52"/>
        <v>1.5071590052750565E-3</v>
      </c>
      <c r="M215" s="52">
        <f t="shared" si="52"/>
        <v>0</v>
      </c>
      <c r="N215" s="52" t="str">
        <f t="shared" si="52"/>
        <v/>
      </c>
      <c r="O215" s="53" t="str">
        <f t="shared" si="52"/>
        <v/>
      </c>
      <c r="P215" s="54">
        <f>IF(P214="","",P214/P213)</f>
        <v>1.1376025027255059E-3</v>
      </c>
      <c r="Q215" s="50"/>
      <c r="R215" s="18"/>
    </row>
    <row r="216" spans="2:19" s="21" customFormat="1" ht="15.75" customHeight="1" x14ac:dyDescent="0.2">
      <c r="B216" s="155" t="s">
        <v>95</v>
      </c>
      <c r="C216" s="156"/>
      <c r="D216" s="47">
        <f>VLOOKUP($B212,[1]Complaints!$A$4:$AF$39,4,)</f>
        <v>1</v>
      </c>
      <c r="E216" s="48">
        <f>VLOOKUP($B212,[2]Complaints!$A$4:$AF$39,4,)</f>
        <v>1</v>
      </c>
      <c r="F216" s="48">
        <f>VLOOKUP($B212,[3]Complaints!$A$4:$AG$39,4,)</f>
        <v>1</v>
      </c>
      <c r="G216" s="48">
        <f>VLOOKUP($B212,[4]Complaints!$A$4:$AG$39,4,)</f>
        <v>0</v>
      </c>
      <c r="H216" s="48">
        <f>VLOOKUP($B212,[5]Complaints!$A$4:$AG$39,4,)</f>
        <v>0</v>
      </c>
      <c r="I216" s="48">
        <f>VLOOKUP($B212,[6]Complaints!$A$4:$AG$39,4,)</f>
        <v>1</v>
      </c>
      <c r="J216" s="48">
        <f>VLOOKUP($B212,[7]Complaints!$A$4:$AG$39,4,)</f>
        <v>2</v>
      </c>
      <c r="K216" s="48">
        <f>VLOOKUP($B212,[8]Complaints!$A$4:$AG$39,4,)</f>
        <v>2</v>
      </c>
      <c r="L216" s="48">
        <f>VLOOKUP($B212,[9]Complaints!$A$4:$AG$39,4,)</f>
        <v>3</v>
      </c>
      <c r="M216" s="48">
        <f>VLOOKUP($B212,[10]Complaints!$A$4:$AG$39,4,)</f>
        <v>0</v>
      </c>
      <c r="N216" s="48">
        <f>VLOOKUP($B212,[11]Complaints!$A$4:$AG$39,4,)</f>
        <v>0</v>
      </c>
      <c r="O216" s="49">
        <f>VLOOKUP($B212,[12]Complaints!$A$4:$AG$39,4,)</f>
        <v>0</v>
      </c>
      <c r="P216" s="55">
        <f t="shared" ref="P216" si="53">SUM(D216:O216)</f>
        <v>11</v>
      </c>
      <c r="Q216" s="50"/>
    </row>
    <row r="217" spans="2:19" ht="15.75" customHeight="1" x14ac:dyDescent="0.2">
      <c r="B217" s="26"/>
      <c r="C217" s="28" t="s">
        <v>98</v>
      </c>
      <c r="D217" s="51">
        <f>IF(D213=0,"",D216/D213)</f>
        <v>1.4992503748125937E-3</v>
      </c>
      <c r="E217" s="52">
        <f t="shared" ref="E217:O217" si="54">IF(E213=0,"",E216/E213)</f>
        <v>1.0989010989010989E-3</v>
      </c>
      <c r="F217" s="52">
        <f t="shared" si="54"/>
        <v>6.9156293222683268E-4</v>
      </c>
      <c r="G217" s="52">
        <f t="shared" si="54"/>
        <v>0</v>
      </c>
      <c r="H217" s="52">
        <f t="shared" si="54"/>
        <v>0</v>
      </c>
      <c r="I217" s="52">
        <f t="shared" si="54"/>
        <v>3.5423308537017357E-4</v>
      </c>
      <c r="J217" s="52">
        <f t="shared" si="54"/>
        <v>6.7727734507280735E-4</v>
      </c>
      <c r="K217" s="52">
        <f t="shared" si="54"/>
        <v>6.7727734507280735E-4</v>
      </c>
      <c r="L217" s="52">
        <f t="shared" si="54"/>
        <v>1.1303692539562924E-3</v>
      </c>
      <c r="M217" s="52">
        <f t="shared" si="54"/>
        <v>0</v>
      </c>
      <c r="N217" s="52" t="str">
        <f t="shared" si="54"/>
        <v/>
      </c>
      <c r="O217" s="53" t="str">
        <f t="shared" si="54"/>
        <v/>
      </c>
      <c r="P217" s="54">
        <f>IF(P216="","",P216/P213)</f>
        <v>5.2140114708252357E-4</v>
      </c>
      <c r="Q217" s="50"/>
      <c r="R217" s="18"/>
    </row>
    <row r="218" spans="2:19" ht="15.75" customHeight="1" x14ac:dyDescent="0.2">
      <c r="B218" s="155" t="s">
        <v>96</v>
      </c>
      <c r="C218" s="156"/>
      <c r="D218" s="47">
        <f>VLOOKUP($B212,[1]Complaints!$A$4:$AF$39,5,)</f>
        <v>0</v>
      </c>
      <c r="E218" s="48">
        <f>VLOOKUP($B212,[2]Complaints!$A$4:$AF$39,5,)</f>
        <v>2</v>
      </c>
      <c r="F218" s="48">
        <f>VLOOKUP($B212,[3]Complaints!$A$4:$AG$39,5,)</f>
        <v>0</v>
      </c>
      <c r="G218" s="48">
        <f>VLOOKUP($B212,[4]Complaints!$A$4:$AG$39,5,)</f>
        <v>0</v>
      </c>
      <c r="H218" s="48">
        <f>VLOOKUP($B212,[5]Complaints!$A$4:$AG$39,5,)</f>
        <v>2</v>
      </c>
      <c r="I218" s="48">
        <f>VLOOKUP($B212,[6]Complaints!$A$4:$AG$39,5,)</f>
        <v>4</v>
      </c>
      <c r="J218" s="48">
        <f>VLOOKUP($B212,[7]Complaints!$A$4:$AG$39,5,)</f>
        <v>2</v>
      </c>
      <c r="K218" s="48">
        <f>VLOOKUP($B212,[8]Complaints!$A$4:$AG$39,5,)</f>
        <v>2</v>
      </c>
      <c r="L218" s="48">
        <f>VLOOKUP($B212,[9]Complaints!$A$4:$AG$39,5,)</f>
        <v>1</v>
      </c>
      <c r="M218" s="48">
        <f>VLOOKUP($B212,[10]Complaints!$A$4:$AG$39,5,)</f>
        <v>0</v>
      </c>
      <c r="N218" s="48">
        <f>VLOOKUP($B212,[11]Complaints!$A$4:$AG$39,5,)</f>
        <v>0</v>
      </c>
      <c r="O218" s="49">
        <f>VLOOKUP($B212,[12]Complaints!$A$4:$AG$39,5,)</f>
        <v>0</v>
      </c>
      <c r="P218" s="55">
        <f t="shared" ref="P218" si="55">SUM(D218:O218)</f>
        <v>13</v>
      </c>
      <c r="Q218" s="50"/>
      <c r="R218" s="18"/>
    </row>
    <row r="219" spans="2:19" ht="15.75" customHeight="1" x14ac:dyDescent="0.2">
      <c r="B219" s="26"/>
      <c r="C219" s="28" t="s">
        <v>99</v>
      </c>
      <c r="D219" s="51">
        <f>IF(D213=0,"",D218/D213)</f>
        <v>0</v>
      </c>
      <c r="E219" s="52">
        <f t="shared" ref="E219:O219" si="56">IF(E213=0,"",E218/E213)</f>
        <v>2.1978021978021978E-3</v>
      </c>
      <c r="F219" s="52">
        <f t="shared" si="56"/>
        <v>0</v>
      </c>
      <c r="G219" s="52">
        <f t="shared" si="56"/>
        <v>0</v>
      </c>
      <c r="H219" s="52">
        <f t="shared" si="56"/>
        <v>7.6365024818633069E-4</v>
      </c>
      <c r="I219" s="52">
        <f t="shared" si="56"/>
        <v>1.4169323414806943E-3</v>
      </c>
      <c r="J219" s="52">
        <f t="shared" si="56"/>
        <v>6.7727734507280735E-4</v>
      </c>
      <c r="K219" s="52">
        <f t="shared" si="56"/>
        <v>6.7727734507280735E-4</v>
      </c>
      <c r="L219" s="52">
        <f t="shared" si="56"/>
        <v>3.7678975131876413E-4</v>
      </c>
      <c r="M219" s="52">
        <f t="shared" si="56"/>
        <v>0</v>
      </c>
      <c r="N219" s="52" t="str">
        <f t="shared" si="56"/>
        <v/>
      </c>
      <c r="O219" s="53" t="str">
        <f t="shared" si="56"/>
        <v/>
      </c>
      <c r="P219" s="54">
        <f>IF(P218="","",P218/P213)</f>
        <v>6.1620135564298243E-4</v>
      </c>
      <c r="Q219" s="50"/>
      <c r="R219" s="18"/>
    </row>
    <row r="220" spans="2:19" ht="15.75" customHeight="1" x14ac:dyDescent="0.2">
      <c r="B220" s="157" t="s">
        <v>97</v>
      </c>
      <c r="C220" s="156"/>
      <c r="D220" s="47">
        <f>VLOOKUP($B212,[1]Complaints!$A$4:$AF$39,6,)</f>
        <v>0</v>
      </c>
      <c r="E220" s="48">
        <f>VLOOKUP($B212,[2]Complaints!$A$4:$AF$39,6,)</f>
        <v>1</v>
      </c>
      <c r="F220" s="48">
        <f>VLOOKUP($B212,[3]Complaints!$A$4:$AG$39,6,)</f>
        <v>0</v>
      </c>
      <c r="G220" s="48">
        <f>VLOOKUP($B212,[4]Complaints!$A$4:$AG$39,6,)</f>
        <v>0</v>
      </c>
      <c r="H220" s="48">
        <f>VLOOKUP($B212,[5]Complaints!$A$4:$AG$39,6,)</f>
        <v>1</v>
      </c>
      <c r="I220" s="48">
        <f>VLOOKUP($B212,[6]Complaints!$A$4:$AG$39,6,)</f>
        <v>2</v>
      </c>
      <c r="J220" s="48">
        <f>VLOOKUP($B212,[7]Complaints!$A$4:$AG$39,6,)</f>
        <v>1</v>
      </c>
      <c r="K220" s="48">
        <f>VLOOKUP($B212,[8]Complaints!$A$4:$AG$39,6,)</f>
        <v>1</v>
      </c>
      <c r="L220" s="48">
        <f>VLOOKUP($B212,[9]Complaints!$A$4:$AG$39,6,)</f>
        <v>3</v>
      </c>
      <c r="M220" s="48">
        <f>VLOOKUP($B212,[10]Complaints!$A$4:$AG$39,6,)</f>
        <v>0</v>
      </c>
      <c r="N220" s="48">
        <f>VLOOKUP($B212,[11]Complaints!$A$4:$AG$39,6,)</f>
        <v>0</v>
      </c>
      <c r="O220" s="49">
        <f>VLOOKUP($B212,[12]Complaints!$A$4:$AG$39,6,)</f>
        <v>0</v>
      </c>
      <c r="P220" s="55">
        <f t="shared" ref="P220" si="57">SUM(D220:O220)</f>
        <v>9</v>
      </c>
      <c r="Q220" s="50"/>
      <c r="R220" s="18"/>
    </row>
    <row r="221" spans="2:19" ht="15.75" customHeight="1" thickBot="1" x14ac:dyDescent="0.25">
      <c r="B221" s="27"/>
      <c r="C221" s="29" t="s">
        <v>100</v>
      </c>
      <c r="D221" s="56" t="str">
        <f>IF(D220=0,"",D220/D218)</f>
        <v/>
      </c>
      <c r="E221" s="57">
        <f t="shared" ref="E221:H221" si="58">IF(E220=0,"",E220/E218)</f>
        <v>0.5</v>
      </c>
      <c r="F221" s="57" t="str">
        <f t="shared" si="58"/>
        <v/>
      </c>
      <c r="G221" s="57" t="str">
        <f t="shared" si="58"/>
        <v/>
      </c>
      <c r="H221" s="57">
        <f t="shared" si="58"/>
        <v>0.5</v>
      </c>
      <c r="I221" s="57">
        <f>IF(I220=0,"",I220/I218)</f>
        <v>0.5</v>
      </c>
      <c r="J221" s="57">
        <f t="shared" ref="J221:O221" si="59">IF(J220=0,"",J220/J218)</f>
        <v>0.5</v>
      </c>
      <c r="K221" s="57">
        <f t="shared" si="59"/>
        <v>0.5</v>
      </c>
      <c r="L221" s="57">
        <f t="shared" si="59"/>
        <v>3</v>
      </c>
      <c r="M221" s="57" t="str">
        <f t="shared" si="59"/>
        <v/>
      </c>
      <c r="N221" s="57" t="str">
        <f t="shared" si="59"/>
        <v/>
      </c>
      <c r="O221" s="58" t="str">
        <f t="shared" si="59"/>
        <v/>
      </c>
      <c r="P221" s="59">
        <f>IF(P220=0,"",P220/P218)</f>
        <v>0.69230769230769229</v>
      </c>
      <c r="Q221" s="60"/>
      <c r="R221" s="18"/>
    </row>
    <row r="222" spans="2:19" ht="15.75" customHeight="1" x14ac:dyDescent="0.2">
      <c r="B222" s="168" t="s">
        <v>103</v>
      </c>
      <c r="C222" s="30" t="s">
        <v>77</v>
      </c>
      <c r="D222" s="61">
        <f>VLOOKUP($B212,[1]Complaints!$A$4:$AJ$39,7,)</f>
        <v>0</v>
      </c>
      <c r="E222" s="43">
        <f>VLOOKUP($B212,[2]Complaints!$A$4:$AJ$39,7,)</f>
        <v>0</v>
      </c>
      <c r="F222" s="43">
        <f>VLOOKUP($B212,[3]Complaints!$A$4:$AJ$39,7,)</f>
        <v>0</v>
      </c>
      <c r="G222" s="43">
        <f>VLOOKUP($B212,[4]Complaints!$A$4:$AJ$39,7,)</f>
        <v>0</v>
      </c>
      <c r="H222" s="43">
        <f>VLOOKUP($B212,[5]Complaints!$A$4:$AJ$39,7,)</f>
        <v>0</v>
      </c>
      <c r="I222" s="43">
        <f>VLOOKUP($B212,[6]Complaints!$A$4:$AJ$39,7,)</f>
        <v>0</v>
      </c>
      <c r="J222" s="43">
        <f>VLOOKUP($B212,[7]Complaints!$A$4:$AJ$39,7,)</f>
        <v>1</v>
      </c>
      <c r="K222" s="43">
        <f>VLOOKUP($B212,[8]Complaints!$A$4:$AJ$39,7,)</f>
        <v>0</v>
      </c>
      <c r="L222" s="43">
        <f>VLOOKUP($B212,[9]Complaints!$A$4:$AJ$39,7,)</f>
        <v>0</v>
      </c>
      <c r="M222" s="43">
        <f>VLOOKUP($B212,[10]Complaints!$A$4:$AJ$39,7,)</f>
        <v>0</v>
      </c>
      <c r="N222" s="43">
        <f>VLOOKUP($B212,[11]Complaints!$A$4:$AJ$39,7,)</f>
        <v>0</v>
      </c>
      <c r="O222" s="44">
        <f>VLOOKUP($B212,[12]Complaints!$A$4:$AJ$39,7,)</f>
        <v>0</v>
      </c>
      <c r="P222" s="45">
        <f>SUM(D222:O222)</f>
        <v>1</v>
      </c>
      <c r="Q222" s="46">
        <f>IF(P222=0,"",P222/$P214)</f>
        <v>4.1666666666666664E-2</v>
      </c>
      <c r="R222" s="18"/>
    </row>
    <row r="223" spans="2:19" ht="15.75" customHeight="1" x14ac:dyDescent="0.2">
      <c r="B223" s="169"/>
      <c r="C223" s="31" t="s">
        <v>89</v>
      </c>
      <c r="D223" s="47">
        <f>VLOOKUP($B212,[1]Complaints!$A$4:$AJ$39,8,)</f>
        <v>0</v>
      </c>
      <c r="E223" s="48">
        <f>VLOOKUP($B212,[2]Complaints!$A$4:$AJ$39,8,)</f>
        <v>1</v>
      </c>
      <c r="F223" s="48">
        <f>VLOOKUP($B212,[3]Complaints!$A$4:$AJ$39,8,)</f>
        <v>0</v>
      </c>
      <c r="G223" s="48">
        <f>VLOOKUP($B212,[4]Complaints!$A$4:$AJ$39,8,)</f>
        <v>0</v>
      </c>
      <c r="H223" s="48">
        <f>VLOOKUP($B212,[5]Complaints!$A$4:$AJ$39,8,)</f>
        <v>2</v>
      </c>
      <c r="I223" s="48">
        <f>VLOOKUP($B212,[6]Complaints!$A$4:$AJ$39,8,)</f>
        <v>3</v>
      </c>
      <c r="J223" s="48">
        <f>VLOOKUP($B212,[7]Complaints!$A$4:$AJ$39,8,)</f>
        <v>1</v>
      </c>
      <c r="K223" s="48">
        <f>VLOOKUP($B212,[8]Complaints!$A$4:$AJ$39,8,)</f>
        <v>1</v>
      </c>
      <c r="L223" s="48">
        <f>VLOOKUP($B212,[9]Complaints!$A$4:$AJ$39,8,)</f>
        <v>1</v>
      </c>
      <c r="M223" s="48">
        <f>VLOOKUP($B212,[10]Complaints!$A$4:$AJ$39,8,)</f>
        <v>0</v>
      </c>
      <c r="N223" s="48">
        <f>VLOOKUP($B212,[11]Complaints!$A$4:$AJ$39,8,)</f>
        <v>0</v>
      </c>
      <c r="O223" s="49">
        <f>VLOOKUP($B212,[12]Complaints!$A$4:$AJ$39,8,)</f>
        <v>0</v>
      </c>
      <c r="P223" s="55">
        <f t="shared" ref="P223:P224" si="60">SUM(D223:O223)</f>
        <v>9</v>
      </c>
      <c r="Q223" s="50">
        <f>IF(P223="","",P223/$P214)</f>
        <v>0.375</v>
      </c>
      <c r="R223" s="18"/>
    </row>
    <row r="224" spans="2:19" ht="15.75" customHeight="1" x14ac:dyDescent="0.2">
      <c r="B224" s="169"/>
      <c r="C224" s="31" t="s">
        <v>88</v>
      </c>
      <c r="D224" s="47">
        <f>VLOOKUP($B212,[1]Complaints!$A$4:$AJ$39,9,)</f>
        <v>0</v>
      </c>
      <c r="E224" s="48">
        <f>VLOOKUP($B212,[2]Complaints!$A$4:$AJ$39,9,)</f>
        <v>0</v>
      </c>
      <c r="F224" s="48">
        <f>VLOOKUP($B212,[3]Complaints!$A$4:$AJ$39,9,)</f>
        <v>0</v>
      </c>
      <c r="G224" s="48">
        <f>VLOOKUP($B212,[4]Complaints!$A$4:$AJ$39,9,)</f>
        <v>0</v>
      </c>
      <c r="H224" s="48">
        <f>VLOOKUP($B212,[5]Complaints!$A$4:$AJ$39,9,)</f>
        <v>0</v>
      </c>
      <c r="I224" s="48">
        <f>VLOOKUP($B212,[6]Complaints!$A$4:$AJ$39,9,)</f>
        <v>1</v>
      </c>
      <c r="J224" s="48">
        <f>VLOOKUP($B212,[7]Complaints!$A$4:$AJ$39,9,)</f>
        <v>0</v>
      </c>
      <c r="K224" s="48">
        <f>VLOOKUP($B212,[8]Complaints!$A$4:$AJ$39,9,)</f>
        <v>0</v>
      </c>
      <c r="L224" s="48">
        <f>VLOOKUP($B212,[9]Complaints!$A$4:$AJ$39,9,)</f>
        <v>0</v>
      </c>
      <c r="M224" s="48">
        <f>VLOOKUP($B212,[10]Complaints!$A$4:$AJ$39,9,)</f>
        <v>0</v>
      </c>
      <c r="N224" s="48">
        <f>VLOOKUP($B212,[11]Complaints!$A$4:$AJ$39,9,)</f>
        <v>0</v>
      </c>
      <c r="O224" s="49">
        <f>VLOOKUP($B212,[12]Complaints!$A$4:$AJ$39,9,)</f>
        <v>0</v>
      </c>
      <c r="P224" s="55">
        <f t="shared" si="60"/>
        <v>1</v>
      </c>
      <c r="Q224" s="50">
        <f>IF(P224=0,"",P224/$P214)</f>
        <v>4.1666666666666664E-2</v>
      </c>
      <c r="R224" s="18"/>
    </row>
    <row r="225" spans="2:18" ht="15.75" customHeight="1" x14ac:dyDescent="0.2">
      <c r="B225" s="169"/>
      <c r="C225" s="31" t="s">
        <v>13</v>
      </c>
      <c r="D225" s="47">
        <f>VLOOKUP($B212,[1]Complaints!$A$4:$AJ$39,10,)</f>
        <v>1</v>
      </c>
      <c r="E225" s="48">
        <f>VLOOKUP($B212,[2]Complaints!$A$4:$AJ$39,10,)</f>
        <v>0</v>
      </c>
      <c r="F225" s="48">
        <f>VLOOKUP($B212,[3]Complaints!$A$4:$AJ$39,10,)</f>
        <v>1</v>
      </c>
      <c r="G225" s="48">
        <f>VLOOKUP($B212,[4]Complaints!$A$4:$AJ$39,10,)</f>
        <v>0</v>
      </c>
      <c r="H225" s="48">
        <f>VLOOKUP($B212,[5]Complaints!$A$4:$AJ$39,10,)</f>
        <v>0</v>
      </c>
      <c r="I225" s="48">
        <f>VLOOKUP($B212,[6]Complaints!$A$4:$AJ$39,10,)</f>
        <v>0</v>
      </c>
      <c r="J225" s="48">
        <f>VLOOKUP($B212,[7]Complaints!$A$4:$AJ$39,10,)</f>
        <v>0</v>
      </c>
      <c r="K225" s="48">
        <f>VLOOKUP($B212,[8]Complaints!$A$4:$AJ$39,10,)</f>
        <v>1</v>
      </c>
      <c r="L225" s="48">
        <f>VLOOKUP($B212,[9]Complaints!$A$4:$AJ$39,10,)</f>
        <v>1</v>
      </c>
      <c r="M225" s="48">
        <f>VLOOKUP($B212,[10]Complaints!$A$4:$AJ$39,10,)</f>
        <v>0</v>
      </c>
      <c r="N225" s="48">
        <f>VLOOKUP($B212,[11]Complaints!$A$4:$AJ$39,10,)</f>
        <v>0</v>
      </c>
      <c r="O225" s="49">
        <f>VLOOKUP($B212,[12]Complaints!$A$4:$AJ$39,10,)</f>
        <v>0</v>
      </c>
      <c r="P225" s="55">
        <f>SUM(D225:O225)</f>
        <v>4</v>
      </c>
      <c r="Q225" s="50">
        <f>IF(P225=0,"",P225/$P214)</f>
        <v>0.16666666666666666</v>
      </c>
      <c r="R225" s="18"/>
    </row>
    <row r="226" spans="2:18" ht="15.75" customHeight="1" x14ac:dyDescent="0.2">
      <c r="B226" s="169"/>
      <c r="C226" s="31" t="s">
        <v>101</v>
      </c>
      <c r="D226" s="47">
        <f>VLOOKUP($B212,[1]Complaints!$A$4:$AJ$39,11,)</f>
        <v>0</v>
      </c>
      <c r="E226" s="48">
        <f>VLOOKUP($B212,[2]Complaints!$A$4:$AJ$39,11,)</f>
        <v>1</v>
      </c>
      <c r="F226" s="48">
        <f>VLOOKUP($B212,[3]Complaints!$A$4:$AJ$39,11,)</f>
        <v>0</v>
      </c>
      <c r="G226" s="48">
        <f>VLOOKUP($B212,[4]Complaints!$A$4:$AJ$39,11,)</f>
        <v>0</v>
      </c>
      <c r="H226" s="48">
        <f>VLOOKUP($B212,[5]Complaints!$A$4:$AJ$39,11,)</f>
        <v>0</v>
      </c>
      <c r="I226" s="48">
        <f>VLOOKUP($B212,[6]Complaints!$A$4:$AJ$39,11,)</f>
        <v>0</v>
      </c>
      <c r="J226" s="48">
        <f>VLOOKUP($B212,[7]Complaints!$A$4:$AJ$39,11,)</f>
        <v>0</v>
      </c>
      <c r="K226" s="48">
        <f>VLOOKUP($B212,[8]Complaints!$A$4:$AJ$39,11,)</f>
        <v>0</v>
      </c>
      <c r="L226" s="48">
        <f>VLOOKUP($B212,[9]Complaints!$A$4:$AJ$39,11,)</f>
        <v>0</v>
      </c>
      <c r="M226" s="48">
        <f>VLOOKUP($B212,[10]Complaints!$A$4:$AJ$39,11,)</f>
        <v>0</v>
      </c>
      <c r="N226" s="48">
        <f>VLOOKUP($B212,[11]Complaints!$A$4:$AJ$39,11,)</f>
        <v>0</v>
      </c>
      <c r="O226" s="49">
        <f>VLOOKUP($B212,[12]Complaints!$A$4:$AJ$39,11,)</f>
        <v>0</v>
      </c>
      <c r="P226" s="55">
        <f t="shared" ref="P226:P235" si="61">SUM(D226:O226)</f>
        <v>1</v>
      </c>
      <c r="Q226" s="50">
        <f>IF(P226=0,"",P226/$P214)</f>
        <v>4.1666666666666664E-2</v>
      </c>
      <c r="R226" s="18"/>
    </row>
    <row r="227" spans="2:18" s="19" customFormat="1" ht="15.75" customHeight="1" x14ac:dyDescent="0.2">
      <c r="B227" s="169"/>
      <c r="C227" s="31" t="s">
        <v>93</v>
      </c>
      <c r="D227" s="47">
        <f>VLOOKUP($B212,[1]Complaints!$A$4:$AJ$39,12,)</f>
        <v>0</v>
      </c>
      <c r="E227" s="48">
        <f>VLOOKUP($B212,[2]Complaints!$A$4:$AJ$39,12,)</f>
        <v>0</v>
      </c>
      <c r="F227" s="48">
        <f>VLOOKUP($B212,[3]Complaints!$A$4:$AJ$39,12,)</f>
        <v>0</v>
      </c>
      <c r="G227" s="48">
        <f>VLOOKUP($B212,[4]Complaints!$A$4:$AJ$39,12,)</f>
        <v>0</v>
      </c>
      <c r="H227" s="48">
        <f>VLOOKUP($B212,[5]Complaints!$A$4:$AJ$39,12,)</f>
        <v>0</v>
      </c>
      <c r="I227" s="48">
        <f>VLOOKUP($B212,[6]Complaints!$A$4:$AJ$39,12,)</f>
        <v>0</v>
      </c>
      <c r="J227" s="48">
        <f>VLOOKUP($B212,[7]Complaints!$A$4:$AJ$39,12,)</f>
        <v>0</v>
      </c>
      <c r="K227" s="48">
        <f>VLOOKUP($B212,[8]Complaints!$A$4:$AJ$39,12,)</f>
        <v>0</v>
      </c>
      <c r="L227" s="48">
        <f>VLOOKUP($B212,[9]Complaints!$A$4:$AJ$39,12,)</f>
        <v>0</v>
      </c>
      <c r="M227" s="48">
        <f>VLOOKUP($B212,[10]Complaints!$A$4:$AJ$39,12,)</f>
        <v>0</v>
      </c>
      <c r="N227" s="48">
        <f>VLOOKUP($B212,[11]Complaints!$A$4:$AJ$39,12,)</f>
        <v>0</v>
      </c>
      <c r="O227" s="49">
        <f>VLOOKUP($B212,[12]Complaints!$A$4:$AJ$39,12,)</f>
        <v>0</v>
      </c>
      <c r="P227" s="55">
        <f t="shared" si="61"/>
        <v>0</v>
      </c>
      <c r="Q227" s="50" t="str">
        <f>IF(P227=0,"",P227/$P214)</f>
        <v/>
      </c>
    </row>
    <row r="228" spans="2:18" ht="15.75" customHeight="1" x14ac:dyDescent="0.2">
      <c r="B228" s="169"/>
      <c r="C228" s="31" t="s">
        <v>78</v>
      </c>
      <c r="D228" s="47">
        <f>VLOOKUP($B212,[1]Complaints!$A$4:$AJ$39,13,)</f>
        <v>0</v>
      </c>
      <c r="E228" s="48">
        <f>VLOOKUP($B212,[2]Complaints!$A$4:$AJ$39,13,)</f>
        <v>1</v>
      </c>
      <c r="F228" s="48">
        <f>VLOOKUP($B212,[3]Complaints!$A$4:$AJ$39,13,)</f>
        <v>0</v>
      </c>
      <c r="G228" s="48">
        <f>VLOOKUP($B212,[4]Complaints!$A$4:$AJ$39,13,)</f>
        <v>0</v>
      </c>
      <c r="H228" s="48">
        <f>VLOOKUP($B212,[5]Complaints!$A$4:$AJ$39,13,)</f>
        <v>0</v>
      </c>
      <c r="I228" s="48">
        <f>VLOOKUP($B212,[6]Complaints!$A$4:$AJ$39,13,)</f>
        <v>1</v>
      </c>
      <c r="J228" s="48">
        <f>VLOOKUP($B212,[7]Complaints!$A$4:$AJ$39,13,)</f>
        <v>0</v>
      </c>
      <c r="K228" s="48">
        <f>VLOOKUP($B212,[8]Complaints!$A$4:$AJ$39,13,)</f>
        <v>0</v>
      </c>
      <c r="L228" s="48">
        <f>VLOOKUP($B212,[9]Complaints!$A$4:$AJ$39,13,)</f>
        <v>0</v>
      </c>
      <c r="M228" s="48">
        <f>VLOOKUP($B212,[10]Complaints!$A$4:$AJ$39,13,)</f>
        <v>0</v>
      </c>
      <c r="N228" s="48">
        <f>VLOOKUP($B212,[11]Complaints!$A$4:$AJ$39,13,)</f>
        <v>0</v>
      </c>
      <c r="O228" s="49">
        <f>VLOOKUP($B212,[12]Complaints!$A$4:$AJ$39,13,)</f>
        <v>0</v>
      </c>
      <c r="P228" s="55">
        <f t="shared" si="61"/>
        <v>2</v>
      </c>
      <c r="Q228" s="50">
        <f>IF(P228=0,"",P228/$P214)</f>
        <v>8.3333333333333329E-2</v>
      </c>
      <c r="R228" s="18"/>
    </row>
    <row r="229" spans="2:18" ht="15.75" customHeight="1" x14ac:dyDescent="0.2">
      <c r="B229" s="169"/>
      <c r="C229" s="31" t="s">
        <v>92</v>
      </c>
      <c r="D229" s="47">
        <f>VLOOKUP($B212,[1]Complaints!$A$4:$AJ$39,14,)</f>
        <v>0</v>
      </c>
      <c r="E229" s="48">
        <f>VLOOKUP($B212,[2]Complaints!$A$4:$AJ$39,14,)</f>
        <v>0</v>
      </c>
      <c r="F229" s="48">
        <f>VLOOKUP($B212,[3]Complaints!$A$4:$AJ$39,14,)</f>
        <v>0</v>
      </c>
      <c r="G229" s="48">
        <f>VLOOKUP($B212,[4]Complaints!$A$4:$AJ$39,14,)</f>
        <v>0</v>
      </c>
      <c r="H229" s="48">
        <f>VLOOKUP($B212,[5]Complaints!$A$4:$AJ$39,14,)</f>
        <v>0</v>
      </c>
      <c r="I229" s="48">
        <f>VLOOKUP($B212,[6]Complaints!$A$4:$AJ$39,14,)</f>
        <v>0</v>
      </c>
      <c r="J229" s="48">
        <f>VLOOKUP($B212,[7]Complaints!$A$4:$AJ$39,14,)</f>
        <v>0</v>
      </c>
      <c r="K229" s="48">
        <f>VLOOKUP($B212,[8]Complaints!$A$4:$AJ$39,14,)</f>
        <v>0</v>
      </c>
      <c r="L229" s="48">
        <f>VLOOKUP($B212,[9]Complaints!$A$4:$AJ$39,14,)</f>
        <v>0</v>
      </c>
      <c r="M229" s="48">
        <f>VLOOKUP($B212,[10]Complaints!$A$4:$AJ$39,14,)</f>
        <v>0</v>
      </c>
      <c r="N229" s="48">
        <f>VLOOKUP($B212,[11]Complaints!$A$4:$AJ$39,14,)</f>
        <v>0</v>
      </c>
      <c r="O229" s="49">
        <f>VLOOKUP($B212,[12]Complaints!$A$4:$AJ$39,14,)</f>
        <v>0</v>
      </c>
      <c r="P229" s="55">
        <f t="shared" si="61"/>
        <v>0</v>
      </c>
      <c r="Q229" s="50" t="str">
        <f>IF(P229=0,"",P229/$P214)</f>
        <v/>
      </c>
      <c r="R229" s="18"/>
    </row>
    <row r="230" spans="2:18" ht="15.75" customHeight="1" x14ac:dyDescent="0.2">
      <c r="B230" s="169"/>
      <c r="C230" s="31" t="s">
        <v>91</v>
      </c>
      <c r="D230" s="47">
        <f>VLOOKUP($B212,[1]Complaints!$A$4:$AJ$39,15,)</f>
        <v>0</v>
      </c>
      <c r="E230" s="48">
        <f>VLOOKUP($B212,[2]Complaints!$A$4:$AJ$39,15,)</f>
        <v>0</v>
      </c>
      <c r="F230" s="48">
        <f>VLOOKUP($B212,[3]Complaints!$A$4:$AJ$39,15,)</f>
        <v>0</v>
      </c>
      <c r="G230" s="48">
        <f>VLOOKUP($B212,[4]Complaints!$A$4:$AJ$39,15,)</f>
        <v>0</v>
      </c>
      <c r="H230" s="48">
        <f>VLOOKUP($B212,[5]Complaints!$A$4:$AJ$39,15,)</f>
        <v>0</v>
      </c>
      <c r="I230" s="48">
        <f>VLOOKUP($B212,[6]Complaints!$A$4:$AJ$39,15,)</f>
        <v>0</v>
      </c>
      <c r="J230" s="48">
        <f>VLOOKUP($B212,[7]Complaints!$A$4:$AJ$39,15,)</f>
        <v>1</v>
      </c>
      <c r="K230" s="48">
        <f>VLOOKUP($B212,[8]Complaints!$A$4:$AJ$39,15,)</f>
        <v>0</v>
      </c>
      <c r="L230" s="48">
        <f>VLOOKUP($B212,[9]Complaints!$A$4:$AJ$39,15,)</f>
        <v>0</v>
      </c>
      <c r="M230" s="48">
        <f>VLOOKUP($B212,[10]Complaints!$A$4:$AJ$39,15,)</f>
        <v>0</v>
      </c>
      <c r="N230" s="48">
        <f>VLOOKUP($B212,[11]Complaints!$A$4:$AJ$39,15,)</f>
        <v>0</v>
      </c>
      <c r="O230" s="49">
        <f>VLOOKUP($B212,[12]Complaints!$A$4:$AJ$39,15,)</f>
        <v>0</v>
      </c>
      <c r="P230" s="55">
        <f t="shared" si="61"/>
        <v>1</v>
      </c>
      <c r="Q230" s="50">
        <f>IF(P230=0,"",P230/$P214)</f>
        <v>4.1666666666666664E-2</v>
      </c>
      <c r="R230" s="18"/>
    </row>
    <row r="231" spans="2:18" ht="15.75" customHeight="1" x14ac:dyDescent="0.2">
      <c r="B231" s="169"/>
      <c r="C231" s="31" t="s">
        <v>79</v>
      </c>
      <c r="D231" s="47">
        <f>VLOOKUP($B212,[1]Complaints!$A$4:$AJ$39,16,)</f>
        <v>0</v>
      </c>
      <c r="E231" s="48">
        <f>VLOOKUP($B212,[2]Complaints!$A$4:$AJ$39,16,)</f>
        <v>0</v>
      </c>
      <c r="F231" s="48">
        <f>VLOOKUP($B212,[3]Complaints!$A$4:$AJ$39,16,)</f>
        <v>0</v>
      </c>
      <c r="G231" s="48">
        <f>VLOOKUP($B212,[4]Complaints!$A$4:$AJ$39,16,)</f>
        <v>0</v>
      </c>
      <c r="H231" s="48">
        <f>VLOOKUP($B212,[5]Complaints!$A$4:$AJ$39,16,)</f>
        <v>0</v>
      </c>
      <c r="I231" s="48">
        <f>VLOOKUP($B212,[6]Complaints!$A$4:$AJ$39,16,)</f>
        <v>0</v>
      </c>
      <c r="J231" s="48">
        <f>VLOOKUP($B212,[7]Complaints!$A$4:$AJ$39,16,)</f>
        <v>0</v>
      </c>
      <c r="K231" s="48">
        <f>VLOOKUP($B212,[8]Complaints!$A$4:$AJ$39,16,)</f>
        <v>0</v>
      </c>
      <c r="L231" s="48">
        <f>VLOOKUP($B212,[9]Complaints!$A$4:$AJ$39,16,)</f>
        <v>0</v>
      </c>
      <c r="M231" s="48">
        <f>VLOOKUP($B212,[10]Complaints!$A$4:$AJ$39,16,)</f>
        <v>0</v>
      </c>
      <c r="N231" s="48">
        <f>VLOOKUP($B212,[11]Complaints!$A$4:$AJ$39,16,)</f>
        <v>0</v>
      </c>
      <c r="O231" s="49">
        <f>VLOOKUP($B212,[12]Complaints!$A$4:$AJ$39,16,)</f>
        <v>0</v>
      </c>
      <c r="P231" s="55">
        <f t="shared" si="61"/>
        <v>0</v>
      </c>
      <c r="Q231" s="50" t="str">
        <f>IF(P231=0,"",P231/$P214)</f>
        <v/>
      </c>
      <c r="R231" s="18"/>
    </row>
    <row r="232" spans="2:18" ht="15.75" customHeight="1" x14ac:dyDescent="0.2">
      <c r="B232" s="169"/>
      <c r="C232" s="31" t="s">
        <v>80</v>
      </c>
      <c r="D232" s="47">
        <f>VLOOKUP($B212,[1]Complaints!$A$4:$AJ$39,17,)</f>
        <v>0</v>
      </c>
      <c r="E232" s="48">
        <f>VLOOKUP($B212,[2]Complaints!$A$4:$AJ$39,17,)</f>
        <v>0</v>
      </c>
      <c r="F232" s="48">
        <f>VLOOKUP($B212,[3]Complaints!$A$4:$AJ$39,17,)</f>
        <v>0</v>
      </c>
      <c r="G232" s="48">
        <f>VLOOKUP($B212,[4]Complaints!$A$4:$AJ$39,17,)</f>
        <v>0</v>
      </c>
      <c r="H232" s="48">
        <f>VLOOKUP($B212,[5]Complaints!$A$4:$AJ$39,17,)</f>
        <v>0</v>
      </c>
      <c r="I232" s="48">
        <f>VLOOKUP($B212,[6]Complaints!$A$4:$AJ$39,17,)</f>
        <v>0</v>
      </c>
      <c r="J232" s="48">
        <f>VLOOKUP($B212,[7]Complaints!$A$4:$AJ$39,17,)</f>
        <v>0</v>
      </c>
      <c r="K232" s="48">
        <f>VLOOKUP($B212,[8]Complaints!$A$4:$AJ$39,17,)</f>
        <v>0</v>
      </c>
      <c r="L232" s="48">
        <f>VLOOKUP($B212,[9]Complaints!$A$4:$AJ$39,17,)</f>
        <v>0</v>
      </c>
      <c r="M232" s="48">
        <f>VLOOKUP($B212,[10]Complaints!$A$4:$AJ$39,17,)</f>
        <v>0</v>
      </c>
      <c r="N232" s="48">
        <f>VLOOKUP($B212,[11]Complaints!$A$4:$AJ$39,17,)</f>
        <v>0</v>
      </c>
      <c r="O232" s="49">
        <f>VLOOKUP($B212,[12]Complaints!$A$4:$AJ$39,17,)</f>
        <v>0</v>
      </c>
      <c r="P232" s="55">
        <f t="shared" si="61"/>
        <v>0</v>
      </c>
      <c r="Q232" s="50" t="str">
        <f>IF(P232=0,"",P232/$P214)</f>
        <v/>
      </c>
      <c r="R232" s="18"/>
    </row>
    <row r="233" spans="2:18" ht="15.75" customHeight="1" x14ac:dyDescent="0.2">
      <c r="B233" s="169"/>
      <c r="C233" s="31" t="s">
        <v>81</v>
      </c>
      <c r="D233" s="47">
        <f>VLOOKUP($B212,[1]Complaints!$A$4:$AJ$39,18,)</f>
        <v>0</v>
      </c>
      <c r="E233" s="48">
        <f>VLOOKUP($B212,[2]Complaints!$A$4:$AJ$39,18,)</f>
        <v>0</v>
      </c>
      <c r="F233" s="48">
        <f>VLOOKUP($B212,[3]Complaints!$A$4:$AJ$39,18,)</f>
        <v>0</v>
      </c>
      <c r="G233" s="48">
        <f>VLOOKUP($B212,[4]Complaints!$A$4:$AJ$39,18,)</f>
        <v>0</v>
      </c>
      <c r="H233" s="48">
        <f>VLOOKUP($B212,[5]Complaints!$A$4:$AJ$39,18,)</f>
        <v>0</v>
      </c>
      <c r="I233" s="48">
        <f>VLOOKUP($B212,[6]Complaints!$A$4:$AJ$39,18,)</f>
        <v>0</v>
      </c>
      <c r="J233" s="48">
        <f>VLOOKUP($B212,[7]Complaints!$A$4:$AJ$39,18,)</f>
        <v>1</v>
      </c>
      <c r="K233" s="48">
        <f>VLOOKUP($B212,[8]Complaints!$A$4:$AJ$39,18,)</f>
        <v>0</v>
      </c>
      <c r="L233" s="48">
        <f>VLOOKUP($B212,[9]Complaints!$A$4:$AJ$39,18,)</f>
        <v>2</v>
      </c>
      <c r="M233" s="48">
        <f>VLOOKUP($B212,[10]Complaints!$A$4:$AJ$39,18,)</f>
        <v>0</v>
      </c>
      <c r="N233" s="48">
        <f>VLOOKUP($B212,[11]Complaints!$A$4:$AJ$39,18,)</f>
        <v>0</v>
      </c>
      <c r="O233" s="49">
        <f>VLOOKUP($B212,[12]Complaints!$A$4:$AJ$39,18,)</f>
        <v>0</v>
      </c>
      <c r="P233" s="55">
        <f t="shared" si="61"/>
        <v>3</v>
      </c>
      <c r="Q233" s="50">
        <f>IF(P233=0,"",P233/$P214)</f>
        <v>0.125</v>
      </c>
      <c r="R233" s="18"/>
    </row>
    <row r="234" spans="2:18" ht="15.75" customHeight="1" x14ac:dyDescent="0.2">
      <c r="B234" s="169"/>
      <c r="C234" s="31" t="s">
        <v>82</v>
      </c>
      <c r="D234" s="47">
        <f>VLOOKUP($B212,[1]Complaints!$A$4:$AJ$39,19,)</f>
        <v>0</v>
      </c>
      <c r="E234" s="48">
        <f>VLOOKUP($B212,[2]Complaints!$A$4:$AJ$39,19,)</f>
        <v>0</v>
      </c>
      <c r="F234" s="48">
        <f>VLOOKUP($B212,[3]Complaints!$A$4:$AJ$39,19,)</f>
        <v>0</v>
      </c>
      <c r="G234" s="48">
        <f>VLOOKUP($B212,[4]Complaints!$A$4:$AJ$39,19,)</f>
        <v>0</v>
      </c>
      <c r="H234" s="48">
        <f>VLOOKUP($B212,[5]Complaints!$A$4:$AJ$39,19,)</f>
        <v>0</v>
      </c>
      <c r="I234" s="48">
        <f>VLOOKUP($B212,[6]Complaints!$A$4:$AJ$39,19,)</f>
        <v>0</v>
      </c>
      <c r="J234" s="48">
        <f>VLOOKUP($B212,[7]Complaints!$A$4:$AJ$39,19,)</f>
        <v>0</v>
      </c>
      <c r="K234" s="48">
        <f>VLOOKUP($B212,[8]Complaints!$A$4:$AJ$39,19,)</f>
        <v>0</v>
      </c>
      <c r="L234" s="48">
        <f>VLOOKUP($B212,[9]Complaints!$A$4:$AJ$39,19,)</f>
        <v>0</v>
      </c>
      <c r="M234" s="48">
        <f>VLOOKUP($B212,[10]Complaints!$A$4:$AJ$39,19,)</f>
        <v>0</v>
      </c>
      <c r="N234" s="48">
        <f>VLOOKUP($B212,[11]Complaints!$A$4:$AJ$39,19,)</f>
        <v>0</v>
      </c>
      <c r="O234" s="49">
        <f>VLOOKUP($B212,[12]Complaints!$A$4:$AJ$39,19,)</f>
        <v>0</v>
      </c>
      <c r="P234" s="55">
        <f t="shared" si="61"/>
        <v>0</v>
      </c>
      <c r="Q234" s="50" t="str">
        <f>IF(P234=0,"",P234/$P214)</f>
        <v/>
      </c>
      <c r="R234" s="18"/>
    </row>
    <row r="235" spans="2:18" ht="15.75" customHeight="1" thickBot="1" x14ac:dyDescent="0.25">
      <c r="B235" s="170"/>
      <c r="C235" s="31" t="s">
        <v>83</v>
      </c>
      <c r="D235" s="47">
        <f>VLOOKUP($B212,[1]Complaints!$A$4:$AJ$39,20,)</f>
        <v>0</v>
      </c>
      <c r="E235" s="48">
        <f>VLOOKUP($B212,[2]Complaints!$A$4:$AJ$39,20,)</f>
        <v>0</v>
      </c>
      <c r="F235" s="48">
        <f>VLOOKUP($B212,[3]Complaints!$A$4:$AJ$39,20,)</f>
        <v>0</v>
      </c>
      <c r="G235" s="48">
        <f>VLOOKUP($B212,[4]Complaints!$A$4:$AJ$39,20,)</f>
        <v>0</v>
      </c>
      <c r="H235" s="48">
        <f>VLOOKUP($B212,[5]Complaints!$A$4:$AJ$39,20,)</f>
        <v>0</v>
      </c>
      <c r="I235" s="48">
        <f>VLOOKUP($B212,[6]Complaints!$A$4:$AJ$39,20,)</f>
        <v>0</v>
      </c>
      <c r="J235" s="48">
        <f>VLOOKUP($B212,[7]Complaints!$A$4:$AJ$39,20,)</f>
        <v>0</v>
      </c>
      <c r="K235" s="48">
        <f>VLOOKUP($B212,[8]Complaints!$A$4:$AJ$39,20,)</f>
        <v>0</v>
      </c>
      <c r="L235" s="48">
        <f>VLOOKUP($B212,[9]Complaints!$A$4:$AJ$39,20,)</f>
        <v>0</v>
      </c>
      <c r="M235" s="48">
        <f>VLOOKUP($B212,[10]Complaints!$A$4:$AJ$39,20,)</f>
        <v>0</v>
      </c>
      <c r="N235" s="48">
        <f>VLOOKUP($B212,[11]Complaints!$A$4:$AJ$39,20,)</f>
        <v>0</v>
      </c>
      <c r="O235" s="49">
        <f>VLOOKUP($B212,[12]Complaints!$A$4:$AJ$39,20,)</f>
        <v>0</v>
      </c>
      <c r="P235" s="55">
        <f t="shared" si="61"/>
        <v>0</v>
      </c>
      <c r="Q235" s="50" t="str">
        <f>IF(P235=0,"",P235/$P214)</f>
        <v/>
      </c>
      <c r="R235" s="18"/>
    </row>
    <row r="236" spans="2:18" ht="15.75" customHeight="1" x14ac:dyDescent="0.2">
      <c r="B236" s="144" t="s">
        <v>90</v>
      </c>
      <c r="C236" s="37" t="s">
        <v>118</v>
      </c>
      <c r="D236" s="62">
        <f>VLOOKUP($B212,[1]Complaints!$A$4:$AJ$39,21,)</f>
        <v>0</v>
      </c>
      <c r="E236" s="63">
        <f>VLOOKUP($B212,[2]Complaints!$A$4:$AJ$39,21,)</f>
        <v>1</v>
      </c>
      <c r="F236" s="63">
        <f>VLOOKUP($B212,[3]Complaints!$A$4:$AJ$39,21,)</f>
        <v>0</v>
      </c>
      <c r="G236" s="63">
        <f>VLOOKUP($B212,[4]Complaints!$A$4:$AJ$39,21,)</f>
        <v>0</v>
      </c>
      <c r="H236" s="63">
        <f>VLOOKUP($B212,[5]Complaints!$A$4:$AJ$39,21,)</f>
        <v>1</v>
      </c>
      <c r="I236" s="63">
        <f>VLOOKUP($B212,[6]Complaints!$A$4:$AJ$39,21,)</f>
        <v>2</v>
      </c>
      <c r="J236" s="63">
        <f>VLOOKUP($B212,[7]Complaints!$A$4:$AJ$39,21,)</f>
        <v>1</v>
      </c>
      <c r="K236" s="63">
        <f>VLOOKUP($B212,[8]Complaints!$A$4:$AJ$39,21,)</f>
        <v>1</v>
      </c>
      <c r="L236" s="63">
        <f>VLOOKUP($B212,[9]Complaints!$A$4:$AJ$39,21,)</f>
        <v>3</v>
      </c>
      <c r="M236" s="63">
        <f>VLOOKUP($B212,[10]Complaints!$A$4:$AJ$39,21,)</f>
        <v>0</v>
      </c>
      <c r="N236" s="63">
        <f>VLOOKUP($B212,[11]Complaints!$A$4:$AJ$39,21,)</f>
        <v>0</v>
      </c>
      <c r="O236" s="64">
        <f>VLOOKUP($B212,[12]Complaints!$A$4:$AJ$39,21,)</f>
        <v>0</v>
      </c>
      <c r="P236" s="65">
        <f>SUM(D236:O236)</f>
        <v>9</v>
      </c>
      <c r="Q236" s="46">
        <f>IF(P236=0,"",P236/$P220)</f>
        <v>1</v>
      </c>
      <c r="R236" s="18"/>
    </row>
    <row r="237" spans="2:18" ht="15.75" customHeight="1" x14ac:dyDescent="0.2">
      <c r="B237" s="145"/>
      <c r="C237" s="38" t="s">
        <v>77</v>
      </c>
      <c r="D237" s="66">
        <f>VLOOKUP($B212,[1]Complaints!$A$4:$AJ$39,22,)</f>
        <v>0</v>
      </c>
      <c r="E237" s="67">
        <f>VLOOKUP($B212,[2]Complaints!$A$4:$AJ$39,22,)</f>
        <v>0</v>
      </c>
      <c r="F237" s="67">
        <f>VLOOKUP($B212,[3]Complaints!$A$4:$AJ$39,22,)</f>
        <v>0</v>
      </c>
      <c r="G237" s="67">
        <f>VLOOKUP($B212,[4]Complaints!$A$4:$AJ$39,22,)</f>
        <v>0</v>
      </c>
      <c r="H237" s="67">
        <f>VLOOKUP($B212,[5]Complaints!$A$4:$AJ$39,22,)</f>
        <v>0</v>
      </c>
      <c r="I237" s="67">
        <f>VLOOKUP($B212,[6]Complaints!$A$4:$AJ$39,22,)</f>
        <v>0</v>
      </c>
      <c r="J237" s="67">
        <f>VLOOKUP($B212,[7]Complaints!$A$4:$AJ$39,22,)</f>
        <v>0</v>
      </c>
      <c r="K237" s="67">
        <f>VLOOKUP($B212,[8]Complaints!$A$4:$AJ$39,22,)</f>
        <v>0</v>
      </c>
      <c r="L237" s="67">
        <f>VLOOKUP($B212,[9]Complaints!$A$4:$AJ$39,22,)</f>
        <v>0</v>
      </c>
      <c r="M237" s="67">
        <f>VLOOKUP($B212,[10]Complaints!$A$4:$AJ$39,22,)</f>
        <v>0</v>
      </c>
      <c r="N237" s="67">
        <f>VLOOKUP($B212,[11]Complaints!$A$4:$AJ$39,22,)</f>
        <v>0</v>
      </c>
      <c r="O237" s="68">
        <f>VLOOKUP($B212,[12]Complaints!$A$4:$AJ$39,22,)</f>
        <v>0</v>
      </c>
      <c r="P237" s="69">
        <f t="shared" ref="P237:P251" si="62">SUM(D237:O237)</f>
        <v>0</v>
      </c>
      <c r="Q237" s="70" t="str">
        <f>IF(P237=0,"",P237/$P220)</f>
        <v/>
      </c>
      <c r="R237" s="18"/>
    </row>
    <row r="238" spans="2:18" ht="15.75" customHeight="1" x14ac:dyDescent="0.2">
      <c r="B238" s="145"/>
      <c r="C238" s="38" t="s">
        <v>108</v>
      </c>
      <c r="D238" s="66">
        <f>VLOOKUP($B212,[1]Complaints!$A$4:$AJ$39,23,)</f>
        <v>0</v>
      </c>
      <c r="E238" s="67">
        <f>VLOOKUP($B212,[2]Complaints!$A$4:$AJ$39,23,)</f>
        <v>0</v>
      </c>
      <c r="F238" s="67">
        <f>VLOOKUP($B212,[3]Complaints!$A$4:$AJ$39,23,)</f>
        <v>0</v>
      </c>
      <c r="G238" s="67">
        <f>VLOOKUP($B212,[4]Complaints!$A$4:$AJ$39,23,)</f>
        <v>0</v>
      </c>
      <c r="H238" s="67">
        <f>VLOOKUP($B212,[5]Complaints!$A$4:$AJ$39,23,)</f>
        <v>1</v>
      </c>
      <c r="I238" s="67">
        <f>VLOOKUP($B212,[6]Complaints!$A$4:$AJ$39,23,)</f>
        <v>0</v>
      </c>
      <c r="J238" s="67">
        <f>VLOOKUP($B212,[7]Complaints!$A$4:$AJ$39,23,)</f>
        <v>1</v>
      </c>
      <c r="K238" s="67">
        <f>VLOOKUP($B212,[8]Complaints!$A$4:$AJ$39,23,)</f>
        <v>1</v>
      </c>
      <c r="L238" s="67">
        <f>VLOOKUP($B212,[9]Complaints!$A$4:$AJ$39,23,)</f>
        <v>1</v>
      </c>
      <c r="M238" s="67">
        <f>VLOOKUP($B212,[10]Complaints!$A$4:$AJ$39,23,)</f>
        <v>0</v>
      </c>
      <c r="N238" s="67">
        <f>VLOOKUP($B212,[11]Complaints!$A$4:$AJ$39,23,)</f>
        <v>0</v>
      </c>
      <c r="O238" s="68">
        <f>VLOOKUP($B212,[12]Complaints!$A$4:$AJ$39,23,)</f>
        <v>0</v>
      </c>
      <c r="P238" s="69">
        <f t="shared" si="62"/>
        <v>4</v>
      </c>
      <c r="Q238" s="70">
        <f>IF(P238=0,"",P238/$P220)</f>
        <v>0.44444444444444442</v>
      </c>
      <c r="R238" s="18"/>
    </row>
    <row r="239" spans="2:18" ht="15.75" customHeight="1" x14ac:dyDescent="0.2">
      <c r="B239" s="145"/>
      <c r="C239" s="38" t="s">
        <v>88</v>
      </c>
      <c r="D239" s="66">
        <f>VLOOKUP($B212,[1]Complaints!$A$4:$AJ$39,24,)</f>
        <v>0</v>
      </c>
      <c r="E239" s="67">
        <f>VLOOKUP($B212,[2]Complaints!$A$4:$AJ$39,24,)</f>
        <v>0</v>
      </c>
      <c r="F239" s="67">
        <f>VLOOKUP($B212,[3]Complaints!$A$4:$AJ$39,24,)</f>
        <v>0</v>
      </c>
      <c r="G239" s="67">
        <f>VLOOKUP($B212,[4]Complaints!$A$4:$AJ$39,24,)</f>
        <v>0</v>
      </c>
      <c r="H239" s="67">
        <f>VLOOKUP($B212,[5]Complaints!$A$4:$AJ$39,24,)</f>
        <v>0</v>
      </c>
      <c r="I239" s="67">
        <f>VLOOKUP($B212,[6]Complaints!$A$4:$AJ$39,24,)</f>
        <v>0</v>
      </c>
      <c r="J239" s="67">
        <f>VLOOKUP($B212,[7]Complaints!$A$4:$AJ$39,24,)</f>
        <v>0</v>
      </c>
      <c r="K239" s="67">
        <f>VLOOKUP($B212,[8]Complaints!$A$4:$AJ$39,24,)</f>
        <v>0</v>
      </c>
      <c r="L239" s="67">
        <f>VLOOKUP($B212,[9]Complaints!$A$4:$AJ$39,24,)</f>
        <v>0</v>
      </c>
      <c r="M239" s="67">
        <f>VLOOKUP($B212,[10]Complaints!$A$4:$AJ$39,24,)</f>
        <v>0</v>
      </c>
      <c r="N239" s="67">
        <f>VLOOKUP($B212,[11]Complaints!$A$4:$AJ$39,24,)</f>
        <v>0</v>
      </c>
      <c r="O239" s="68">
        <f>VLOOKUP($B212,[12]Complaints!$A$4:$AJ$39,24,)</f>
        <v>0</v>
      </c>
      <c r="P239" s="69">
        <f t="shared" si="62"/>
        <v>0</v>
      </c>
      <c r="Q239" s="70" t="str">
        <f>IF(P239=0,"",P239/$P220)</f>
        <v/>
      </c>
      <c r="R239" s="18"/>
    </row>
    <row r="240" spans="2:18" ht="15.75" customHeight="1" x14ac:dyDescent="0.2">
      <c r="B240" s="145"/>
      <c r="C240" s="38" t="s">
        <v>109</v>
      </c>
      <c r="D240" s="66">
        <f>VLOOKUP($B212,[1]Complaints!$A$4:$AJ$39,25,)</f>
        <v>0</v>
      </c>
      <c r="E240" s="67">
        <f>VLOOKUP($B212,[2]Complaints!$A$4:$AJ$39,25,)</f>
        <v>0</v>
      </c>
      <c r="F240" s="67">
        <f>VLOOKUP($B212,[3]Complaints!$A$4:$AJ$39,25,)</f>
        <v>0</v>
      </c>
      <c r="G240" s="67">
        <f>VLOOKUP($B212,[4]Complaints!$A$4:$AJ$39,25,)</f>
        <v>0</v>
      </c>
      <c r="H240" s="67">
        <f>VLOOKUP($B212,[5]Complaints!$A$4:$AJ$39,25,)</f>
        <v>0</v>
      </c>
      <c r="I240" s="67">
        <f>VLOOKUP($B212,[6]Complaints!$A$4:$AJ$39,25,)</f>
        <v>1</v>
      </c>
      <c r="J240" s="67">
        <f>VLOOKUP($B212,[7]Complaints!$A$4:$AJ$39,25,)</f>
        <v>0</v>
      </c>
      <c r="K240" s="67">
        <f>VLOOKUP($B212,[8]Complaints!$A$4:$AJ$39,25,)</f>
        <v>0</v>
      </c>
      <c r="L240" s="67">
        <f>VLOOKUP($B212,[9]Complaints!$A$4:$AJ$39,25,)</f>
        <v>1</v>
      </c>
      <c r="M240" s="67">
        <f>VLOOKUP($B212,[10]Complaints!$A$4:$AJ$39,25,)</f>
        <v>0</v>
      </c>
      <c r="N240" s="67">
        <f>VLOOKUP($B212,[11]Complaints!$A$4:$AJ$39,25,)</f>
        <v>0</v>
      </c>
      <c r="O240" s="68">
        <f>VLOOKUP($B212,[12]Complaints!$A$4:$AJ$39,25,)</f>
        <v>0</v>
      </c>
      <c r="P240" s="69">
        <f t="shared" si="62"/>
        <v>2</v>
      </c>
      <c r="Q240" s="70">
        <f>IF(P240=0,"",P240/$P220)</f>
        <v>0.22222222222222221</v>
      </c>
      <c r="R240" s="18"/>
    </row>
    <row r="241" spans="1:19" ht="15.75" customHeight="1" x14ac:dyDescent="0.2">
      <c r="A241" s="21"/>
      <c r="B241" s="145"/>
      <c r="C241" s="38" t="s">
        <v>110</v>
      </c>
      <c r="D241" s="66">
        <f>VLOOKUP($B212,[1]Complaints!$A$4:$AJ$39,26,)</f>
        <v>0</v>
      </c>
      <c r="E241" s="67">
        <f>VLOOKUP($B212,[2]Complaints!$A$4:$AJ$39,26,)</f>
        <v>0</v>
      </c>
      <c r="F241" s="67">
        <f>VLOOKUP($B212,[3]Complaints!$A$4:$AJ$39,26,)</f>
        <v>0</v>
      </c>
      <c r="G241" s="67">
        <f>VLOOKUP($B212,[4]Complaints!$A$4:$AJ$39,26,)</f>
        <v>0</v>
      </c>
      <c r="H241" s="67">
        <f>VLOOKUP($B212,[5]Complaints!$A$4:$AJ$39,26,)</f>
        <v>0</v>
      </c>
      <c r="I241" s="67">
        <f>VLOOKUP($B212,[6]Complaints!$A$4:$AJ$39,26,)</f>
        <v>0</v>
      </c>
      <c r="J241" s="67">
        <f>VLOOKUP($B212,[7]Complaints!$A$4:$AJ$39,26,)</f>
        <v>0</v>
      </c>
      <c r="K241" s="67">
        <f>VLOOKUP($B212,[8]Complaints!$A$4:$AJ$39,26,)</f>
        <v>0</v>
      </c>
      <c r="L241" s="67">
        <f>VLOOKUP($B212,[9]Complaints!$A$4:$AJ$39,26,)</f>
        <v>1</v>
      </c>
      <c r="M241" s="67">
        <f>VLOOKUP($B212,[10]Complaints!$A$4:$AJ$39,26,)</f>
        <v>0</v>
      </c>
      <c r="N241" s="67">
        <f>VLOOKUP($B212,[11]Complaints!$A$4:$AJ$39,26,)</f>
        <v>0</v>
      </c>
      <c r="O241" s="68">
        <f>VLOOKUP($B212,[12]Complaints!$A$4:$AJ$39,26,)</f>
        <v>0</v>
      </c>
      <c r="P241" s="69">
        <f t="shared" si="62"/>
        <v>1</v>
      </c>
      <c r="Q241" s="70">
        <f>IF(P241=0,"",P241/$P220)</f>
        <v>0.1111111111111111</v>
      </c>
      <c r="R241" s="18"/>
    </row>
    <row r="242" spans="1:19" s="21" customFormat="1" ht="15.75" customHeight="1" x14ac:dyDescent="0.2">
      <c r="B242" s="145"/>
      <c r="C242" s="39" t="s">
        <v>107</v>
      </c>
      <c r="D242" s="71">
        <f>VLOOKUP($B212,[1]Complaints!$A$4:$AJ$39,27,)</f>
        <v>0</v>
      </c>
      <c r="E242" s="72">
        <f>VLOOKUP($B212,[2]Complaints!$A$4:$AJ$39,27,)</f>
        <v>1</v>
      </c>
      <c r="F242" s="72">
        <f>VLOOKUP($B212,[3]Complaints!$A$4:$AJ$39,27,)</f>
        <v>0</v>
      </c>
      <c r="G242" s="72">
        <f>VLOOKUP($B212,[4]Complaints!$A$4:$AJ$39,27,)</f>
        <v>0</v>
      </c>
      <c r="H242" s="72">
        <f>VLOOKUP($B212,[5]Complaints!$A$4:$AJ$39,27,)</f>
        <v>0</v>
      </c>
      <c r="I242" s="72">
        <f>VLOOKUP($B212,[6]Complaints!$A$4:$AJ$39,27,)</f>
        <v>0</v>
      </c>
      <c r="J242" s="72">
        <f>VLOOKUP($B212,[7]Complaints!$A$4:$AJ$39,27,)</f>
        <v>0</v>
      </c>
      <c r="K242" s="72">
        <f>VLOOKUP($B212,[8]Complaints!$A$4:$AJ$39,27,)</f>
        <v>0</v>
      </c>
      <c r="L242" s="72">
        <f>VLOOKUP($B212,[9]Complaints!$A$4:$AJ$39,27,)</f>
        <v>0</v>
      </c>
      <c r="M242" s="72">
        <f>VLOOKUP($B212,[10]Complaints!$A$4:$AJ$39,27,)</f>
        <v>0</v>
      </c>
      <c r="N242" s="72">
        <f>VLOOKUP($B212,[11]Complaints!$A$4:$AJ$39,27,)</f>
        <v>0</v>
      </c>
      <c r="O242" s="73">
        <f>VLOOKUP($B212,[12]Complaints!$A$4:$AJ$39,27,)</f>
        <v>0</v>
      </c>
      <c r="P242" s="69">
        <f t="shared" si="62"/>
        <v>1</v>
      </c>
      <c r="Q242" s="70">
        <f>IF(P242=0,"",P242/$P220)</f>
        <v>0.1111111111111111</v>
      </c>
      <c r="S242" s="18"/>
    </row>
    <row r="243" spans="1:19" ht="15.75" customHeight="1" x14ac:dyDescent="0.2">
      <c r="B243" s="145"/>
      <c r="C243" s="39" t="s">
        <v>87</v>
      </c>
      <c r="D243" s="71">
        <f>VLOOKUP($B212,[1]Complaints!$A$4:$AJ$39,28,)</f>
        <v>0</v>
      </c>
      <c r="E243" s="72">
        <f>VLOOKUP($B212,[2]Complaints!$A$4:$AJ$39,28,)</f>
        <v>0</v>
      </c>
      <c r="F243" s="72">
        <f>VLOOKUP($B212,[3]Complaints!$A$4:$AJ$39,28,)</f>
        <v>0</v>
      </c>
      <c r="G243" s="72">
        <f>VLOOKUP($B212,[4]Complaints!$A$4:$AJ$39,28,)</f>
        <v>0</v>
      </c>
      <c r="H243" s="72">
        <f>VLOOKUP($B212,[5]Complaints!$A$4:$AJ$39,28,)</f>
        <v>0</v>
      </c>
      <c r="I243" s="72">
        <f>VLOOKUP($B212,[6]Complaints!$A$4:$AJ$39,28,)</f>
        <v>0</v>
      </c>
      <c r="J243" s="72">
        <f>VLOOKUP($B212,[7]Complaints!$A$4:$AJ$39,28,)</f>
        <v>0</v>
      </c>
      <c r="K243" s="72">
        <f>VLOOKUP($B212,[8]Complaints!$A$4:$AJ$39,28,)</f>
        <v>0</v>
      </c>
      <c r="L243" s="72">
        <f>VLOOKUP($B212,[9]Complaints!$A$4:$AJ$39,28,)</f>
        <v>0</v>
      </c>
      <c r="M243" s="72">
        <f>VLOOKUP($B212,[10]Complaints!$A$4:$AJ$39,28,)</f>
        <v>0</v>
      </c>
      <c r="N243" s="72">
        <f>VLOOKUP($B212,[11]Complaints!$A$4:$AJ$39,28,)</f>
        <v>0</v>
      </c>
      <c r="O243" s="73">
        <f>VLOOKUP($B212,[12]Complaints!$A$4:$AJ$39,28,)</f>
        <v>0</v>
      </c>
      <c r="P243" s="69">
        <f t="shared" si="62"/>
        <v>0</v>
      </c>
      <c r="Q243" s="70" t="str">
        <f>IF(P243=0,"",P243/$P220)</f>
        <v/>
      </c>
      <c r="R243" s="18"/>
    </row>
    <row r="244" spans="1:19" ht="15.75" customHeight="1" x14ac:dyDescent="0.2">
      <c r="B244" s="145"/>
      <c r="C244" s="38" t="s">
        <v>111</v>
      </c>
      <c r="D244" s="66">
        <f>VLOOKUP($B212,[1]Complaints!$A$4:$AJ$39,29,)</f>
        <v>0</v>
      </c>
      <c r="E244" s="67">
        <f>VLOOKUP($B212,[2]Complaints!$A$4:$AJ$39,29,)</f>
        <v>0</v>
      </c>
      <c r="F244" s="67">
        <f>VLOOKUP($B212,[3]Complaints!$A$4:$AJ$39,29,)</f>
        <v>0</v>
      </c>
      <c r="G244" s="67">
        <f>VLOOKUP($B212,[4]Complaints!$A$4:$AJ$39,29,)</f>
        <v>0</v>
      </c>
      <c r="H244" s="67">
        <f>VLOOKUP($B212,[5]Complaints!$A$4:$AJ$39,29,)</f>
        <v>0</v>
      </c>
      <c r="I244" s="67">
        <f>VLOOKUP($B212,[6]Complaints!$A$4:$AJ$39,29,)</f>
        <v>1</v>
      </c>
      <c r="J244" s="67">
        <f>VLOOKUP($B212,[7]Complaints!$A$4:$AJ$39,29,)</f>
        <v>0</v>
      </c>
      <c r="K244" s="67">
        <f>VLOOKUP($B212,[8]Complaints!$A$4:$AJ$39,29,)</f>
        <v>0</v>
      </c>
      <c r="L244" s="67">
        <f>VLOOKUP($B212,[9]Complaints!$A$4:$AJ$39,29,)</f>
        <v>0</v>
      </c>
      <c r="M244" s="67">
        <f>VLOOKUP($B212,[10]Complaints!$A$4:$AJ$39,29,)</f>
        <v>0</v>
      </c>
      <c r="N244" s="67">
        <f>VLOOKUP($B212,[11]Complaints!$A$4:$AJ$39,29,)</f>
        <v>0</v>
      </c>
      <c r="O244" s="68">
        <f>VLOOKUP($B212,[12]Complaints!$A$4:$AJ$39,29,)</f>
        <v>0</v>
      </c>
      <c r="P244" s="69">
        <f t="shared" si="62"/>
        <v>1</v>
      </c>
      <c r="Q244" s="70">
        <f>IF(P244=0,"",P244/$P220)</f>
        <v>0.1111111111111111</v>
      </c>
      <c r="R244" s="18"/>
    </row>
    <row r="245" spans="1:19" ht="15.75" customHeight="1" x14ac:dyDescent="0.2">
      <c r="B245" s="145"/>
      <c r="C245" s="38" t="s">
        <v>112</v>
      </c>
      <c r="D245" s="66">
        <f>VLOOKUP($B212,[1]Complaints!$A$4:$AJ$39,30,)</f>
        <v>0</v>
      </c>
      <c r="E245" s="67">
        <f>VLOOKUP($B212,[2]Complaints!$A$4:$AJ$39,30,)</f>
        <v>0</v>
      </c>
      <c r="F245" s="67">
        <f>VLOOKUP($B212,[3]Complaints!$A$4:$AJ$39,30,)</f>
        <v>0</v>
      </c>
      <c r="G245" s="67">
        <f>VLOOKUP($B212,[4]Complaints!$A$4:$AJ$39,30,)</f>
        <v>0</v>
      </c>
      <c r="H245" s="67">
        <f>VLOOKUP($B212,[5]Complaints!$A$4:$AJ$39,30,)</f>
        <v>0</v>
      </c>
      <c r="I245" s="67">
        <f>VLOOKUP($B212,[6]Complaints!$A$4:$AJ$39,30,)</f>
        <v>0</v>
      </c>
      <c r="J245" s="67">
        <f>VLOOKUP($B212,[7]Complaints!$A$4:$AJ$39,30,)</f>
        <v>0</v>
      </c>
      <c r="K245" s="67">
        <f>VLOOKUP($B212,[8]Complaints!$A$4:$AJ$39,30,)</f>
        <v>0</v>
      </c>
      <c r="L245" s="67">
        <f>VLOOKUP($B212,[9]Complaints!$A$4:$AJ$39,30,)</f>
        <v>0</v>
      </c>
      <c r="M245" s="67">
        <f>VLOOKUP($B212,[10]Complaints!$A$4:$AJ$39,30,)</f>
        <v>0</v>
      </c>
      <c r="N245" s="67">
        <f>VLOOKUP($B212,[11]Complaints!$A$4:$AJ$39,30,)</f>
        <v>0</v>
      </c>
      <c r="O245" s="68">
        <f>VLOOKUP($B212,[12]Complaints!$A$4:$AJ$39,30,)</f>
        <v>0</v>
      </c>
      <c r="P245" s="69">
        <f t="shared" si="62"/>
        <v>0</v>
      </c>
      <c r="Q245" s="70" t="str">
        <f>IF(P245=0,"",P245/$P220)</f>
        <v/>
      </c>
      <c r="R245" s="18"/>
    </row>
    <row r="246" spans="1:19" ht="15.75" customHeight="1" x14ac:dyDescent="0.2">
      <c r="B246" s="146"/>
      <c r="C246" s="40" t="s">
        <v>119</v>
      </c>
      <c r="D246" s="74">
        <f>VLOOKUP($B212,[1]Complaints!$A$4:$AJ$39,31,)</f>
        <v>0</v>
      </c>
      <c r="E246" s="75">
        <f>VLOOKUP($B212,[2]Complaints!$A$4:$AJ$39,31,)</f>
        <v>0</v>
      </c>
      <c r="F246" s="75">
        <f>VLOOKUP($B212,[3]Complaints!$A$4:$AJ$39,31,)</f>
        <v>0</v>
      </c>
      <c r="G246" s="75">
        <f>VLOOKUP($B212,[4]Complaints!$A$4:$AJ$39,31,)</f>
        <v>0</v>
      </c>
      <c r="H246" s="75">
        <f>VLOOKUP($B212,[5]Complaints!$A$4:$AJ$39,31,)</f>
        <v>0</v>
      </c>
      <c r="I246" s="75">
        <f>VLOOKUP($B212,[6]Complaints!$A$4:$AJ$39,31,)</f>
        <v>0</v>
      </c>
      <c r="J246" s="75">
        <f>VLOOKUP($B212,[7]Complaints!$A$4:$AJ$39,31,)</f>
        <v>0</v>
      </c>
      <c r="K246" s="75">
        <f>VLOOKUP($B212,[8]Complaints!$A$4:$AJ$39,31,)</f>
        <v>0</v>
      </c>
      <c r="L246" s="75">
        <f>VLOOKUP($B212,[9]Complaints!$A$4:$AJ$39,31,)</f>
        <v>0</v>
      </c>
      <c r="M246" s="75">
        <f>VLOOKUP($B212,[10]Complaints!$A$4:$AJ$39,31,)</f>
        <v>0</v>
      </c>
      <c r="N246" s="75">
        <f>VLOOKUP($B212,[11]Complaints!$A$4:$AJ$39,31,)</f>
        <v>0</v>
      </c>
      <c r="O246" s="76">
        <f>VLOOKUP($B212,[12]Complaints!$A$4:$AJ$39,31,)</f>
        <v>0</v>
      </c>
      <c r="P246" s="77">
        <f t="shared" si="62"/>
        <v>0</v>
      </c>
      <c r="Q246" s="50" t="str">
        <f>IF(P246=0,"",P246/$P220)</f>
        <v/>
      </c>
      <c r="R246" s="18"/>
    </row>
    <row r="247" spans="1:19" ht="15.75" customHeight="1" x14ac:dyDescent="0.2">
      <c r="B247" s="146"/>
      <c r="C247" s="38" t="s">
        <v>113</v>
      </c>
      <c r="D247" s="66">
        <f>VLOOKUP($B212,[1]Complaints!$A$4:$AJ$39,32,)</f>
        <v>0</v>
      </c>
      <c r="E247" s="67">
        <f>VLOOKUP($B212,[2]Complaints!$A$4:$AJ$39,32,)</f>
        <v>0</v>
      </c>
      <c r="F247" s="67">
        <f>VLOOKUP($B212,[3]Complaints!$A$4:$AJ$39,32,)</f>
        <v>0</v>
      </c>
      <c r="G247" s="67">
        <f>VLOOKUP($B212,[4]Complaints!$A$4:$AJ$39,32,)</f>
        <v>0</v>
      </c>
      <c r="H247" s="67">
        <f>VLOOKUP($B212,[5]Complaints!$A$4:$AJ$39,32,)</f>
        <v>0</v>
      </c>
      <c r="I247" s="67">
        <f>VLOOKUP($B212,[6]Complaints!$A$4:$AJ$39,32,)</f>
        <v>0</v>
      </c>
      <c r="J247" s="67">
        <f>VLOOKUP($B212,[7]Complaints!$A$4:$AJ$39,32,)</f>
        <v>0</v>
      </c>
      <c r="K247" s="67">
        <f>VLOOKUP($B212,[8]Complaints!$A$4:$AJ$39,32,)</f>
        <v>0</v>
      </c>
      <c r="L247" s="67">
        <f>VLOOKUP($B212,[9]Complaints!$A$4:$AJ$39,32,)</f>
        <v>0</v>
      </c>
      <c r="M247" s="67">
        <f>VLOOKUP($B212,[10]Complaints!$A$4:$AJ$39,32,)</f>
        <v>0</v>
      </c>
      <c r="N247" s="67">
        <f>VLOOKUP($B212,[11]Complaints!$A$4:$AJ$39,32,)</f>
        <v>0</v>
      </c>
      <c r="O247" s="68">
        <f>VLOOKUP($B212,[12]Complaints!$A$4:$AJ$39,32,)</f>
        <v>0</v>
      </c>
      <c r="P247" s="69">
        <f t="shared" si="62"/>
        <v>0</v>
      </c>
      <c r="Q247" s="70" t="str">
        <f>IF(P247=0,"",P247/$P220)</f>
        <v/>
      </c>
      <c r="R247" s="18"/>
    </row>
    <row r="248" spans="1:19" ht="15.75" customHeight="1" x14ac:dyDescent="0.2">
      <c r="B248" s="146"/>
      <c r="C248" s="38" t="s">
        <v>114</v>
      </c>
      <c r="D248" s="66">
        <f>VLOOKUP($B212,[1]Complaints!$A$4:$AJ$39,33,)</f>
        <v>0</v>
      </c>
      <c r="E248" s="67">
        <f>VLOOKUP($B212,[2]Complaints!$A$4:$AJ$39,33,)</f>
        <v>0</v>
      </c>
      <c r="F248" s="67">
        <f>VLOOKUP($B212,[3]Complaints!$A$4:$AJ$39,33,)</f>
        <v>0</v>
      </c>
      <c r="G248" s="67">
        <f>VLOOKUP($B212,[4]Complaints!$A$4:$AJ$39,33,)</f>
        <v>0</v>
      </c>
      <c r="H248" s="67">
        <f>VLOOKUP($B212,[5]Complaints!$A$4:$AJ$39,33,)</f>
        <v>0</v>
      </c>
      <c r="I248" s="67">
        <f>VLOOKUP($B212,[6]Complaints!$A$4:$AJ$39,33,)</f>
        <v>0</v>
      </c>
      <c r="J248" s="67">
        <f>VLOOKUP($B212,[7]Complaints!$A$4:$AJ$39,33,)</f>
        <v>0</v>
      </c>
      <c r="K248" s="67">
        <f>VLOOKUP($B212,[8]Complaints!$A$4:$AJ$39,33,)</f>
        <v>0</v>
      </c>
      <c r="L248" s="67">
        <f>VLOOKUP($B212,[9]Complaints!$A$4:$AJ$39,33,)</f>
        <v>0</v>
      </c>
      <c r="M248" s="67">
        <f>VLOOKUP($B212,[10]Complaints!$A$4:$AJ$39,33,)</f>
        <v>0</v>
      </c>
      <c r="N248" s="67">
        <f>VLOOKUP($B212,[11]Complaints!$A$4:$AJ$39,33,)</f>
        <v>0</v>
      </c>
      <c r="O248" s="68">
        <f>VLOOKUP($B212,[12]Complaints!$A$4:$AJ$39,33,)</f>
        <v>0</v>
      </c>
      <c r="P248" s="69">
        <f t="shared" si="62"/>
        <v>0</v>
      </c>
      <c r="Q248" s="70" t="str">
        <f>IF(P248=0,"",P248/$P220)</f>
        <v/>
      </c>
      <c r="R248" s="18"/>
    </row>
    <row r="249" spans="1:19" ht="15.75" customHeight="1" x14ac:dyDescent="0.2">
      <c r="B249" s="146"/>
      <c r="C249" s="38" t="s">
        <v>115</v>
      </c>
      <c r="D249" s="66">
        <f>VLOOKUP($B212,[1]Complaints!$A$4:$AJ$39,34,)</f>
        <v>0</v>
      </c>
      <c r="E249" s="67">
        <f>VLOOKUP($B212,[2]Complaints!$A$4:$AJ$39,34,)</f>
        <v>0</v>
      </c>
      <c r="F249" s="67">
        <f>VLOOKUP($B212,[3]Complaints!$A$4:$AJ$39,34,)</f>
        <v>0</v>
      </c>
      <c r="G249" s="67">
        <f>VLOOKUP($B212,[4]Complaints!$A$4:$AJ$39,34,)</f>
        <v>0</v>
      </c>
      <c r="H249" s="67">
        <f>VLOOKUP($B212,[5]Complaints!$A$4:$AJ$39,34,)</f>
        <v>0</v>
      </c>
      <c r="I249" s="67">
        <f>VLOOKUP($B212,[6]Complaints!$A$4:$AJ$39,34,)</f>
        <v>0</v>
      </c>
      <c r="J249" s="67">
        <f>VLOOKUP($B212,[7]Complaints!$A$4:$AJ$39,34,)</f>
        <v>0</v>
      </c>
      <c r="K249" s="67">
        <f>VLOOKUP($B212,[8]Complaints!$A$4:$AJ$39,34,)</f>
        <v>0</v>
      </c>
      <c r="L249" s="67">
        <f>VLOOKUP($B212,[9]Complaints!$A$4:$AJ$39,34,)</f>
        <v>0</v>
      </c>
      <c r="M249" s="67">
        <f>VLOOKUP($B212,[10]Complaints!$A$4:$AJ$39,34,)</f>
        <v>0</v>
      </c>
      <c r="N249" s="67">
        <f>VLOOKUP($B212,[11]Complaints!$A$4:$AJ$39,34,)</f>
        <v>0</v>
      </c>
      <c r="O249" s="68">
        <f>VLOOKUP($B212,[12]Complaints!$A$4:$AJ$39,34,)</f>
        <v>0</v>
      </c>
      <c r="P249" s="69">
        <f t="shared" si="62"/>
        <v>0</v>
      </c>
      <c r="Q249" s="70" t="str">
        <f>IF(P249=0,"",P249/$P220)</f>
        <v/>
      </c>
      <c r="R249" s="18"/>
    </row>
    <row r="250" spans="1:19" ht="15.75" customHeight="1" x14ac:dyDescent="0.2">
      <c r="B250" s="146"/>
      <c r="C250" s="38" t="s">
        <v>116</v>
      </c>
      <c r="D250" s="66">
        <f>VLOOKUP($B212,[1]Complaints!$A$4:$AJ$39,35,)</f>
        <v>0</v>
      </c>
      <c r="E250" s="67">
        <f>VLOOKUP($B212,[2]Complaints!$A$4:$AJ$39,35,)</f>
        <v>0</v>
      </c>
      <c r="F250" s="67">
        <f>VLOOKUP($B212,[3]Complaints!$A$4:$AJ$39,35,)</f>
        <v>0</v>
      </c>
      <c r="G250" s="67">
        <f>VLOOKUP($B212,[4]Complaints!$A$4:$AJ$39,35,)</f>
        <v>0</v>
      </c>
      <c r="H250" s="67">
        <f>VLOOKUP($B212,[5]Complaints!$A$4:$AJ$39,35,)</f>
        <v>0</v>
      </c>
      <c r="I250" s="67">
        <f>VLOOKUP($B212,[6]Complaints!$A$4:$AJ$39,35,)</f>
        <v>0</v>
      </c>
      <c r="J250" s="67">
        <f>VLOOKUP($B212,[7]Complaints!$A$4:$AJ$39,35,)</f>
        <v>0</v>
      </c>
      <c r="K250" s="67">
        <f>VLOOKUP($B212,[8]Complaints!$A$4:$AJ$39,35,)</f>
        <v>0</v>
      </c>
      <c r="L250" s="67">
        <f>VLOOKUP($B212,[9]Complaints!$A$4:$AJ$39,35,)</f>
        <v>0</v>
      </c>
      <c r="M250" s="67">
        <f>VLOOKUP($B212,[10]Complaints!$A$4:$AJ$39,35,)</f>
        <v>0</v>
      </c>
      <c r="N250" s="67">
        <f>VLOOKUP($B212,[11]Complaints!$A$4:$AJ$39,35,)</f>
        <v>0</v>
      </c>
      <c r="O250" s="68">
        <f>VLOOKUP($B212,[12]Complaints!$A$4:$AJ$39,35,)</f>
        <v>0</v>
      </c>
      <c r="P250" s="69">
        <f t="shared" si="62"/>
        <v>0</v>
      </c>
      <c r="Q250" s="70" t="str">
        <f>IF(P250=0,"",P250/$P220)</f>
        <v/>
      </c>
      <c r="R250" s="18"/>
    </row>
    <row r="251" spans="1:19" ht="15.75" customHeight="1" thickBot="1" x14ac:dyDescent="0.25">
      <c r="B251" s="147"/>
      <c r="C251" s="41" t="s">
        <v>117</v>
      </c>
      <c r="D251" s="78">
        <f>VLOOKUP($B212,[1]Complaints!$A$4:$AJ$39,36,)</f>
        <v>0</v>
      </c>
      <c r="E251" s="79">
        <f>VLOOKUP($B212,[2]Complaints!$A$4:$AJ$39,36,)</f>
        <v>0</v>
      </c>
      <c r="F251" s="79">
        <f>VLOOKUP($B212,[3]Complaints!$A$4:$AJ$39,36,)</f>
        <v>0</v>
      </c>
      <c r="G251" s="79">
        <f>VLOOKUP($B212,[4]Complaints!$A$4:$AJ$39,36,)</f>
        <v>0</v>
      </c>
      <c r="H251" s="79">
        <f>VLOOKUP($B212,[5]Complaints!$A$4:$AJ$39,36,)</f>
        <v>0</v>
      </c>
      <c r="I251" s="79">
        <f>VLOOKUP($B212,[6]Complaints!$A$4:$AJ$39,36,)</f>
        <v>0</v>
      </c>
      <c r="J251" s="79">
        <f>VLOOKUP($B212,[7]Complaints!$A$4:$AJ$39,36,)</f>
        <v>0</v>
      </c>
      <c r="K251" s="79">
        <f>VLOOKUP($B212,[8]Complaints!$A$4:$AJ$39,36,)</f>
        <v>0</v>
      </c>
      <c r="L251" s="79">
        <f>VLOOKUP($B212,[9]Complaints!$A$4:$AJ$39,36,)</f>
        <v>0</v>
      </c>
      <c r="M251" s="79">
        <f>VLOOKUP($B212,[10]Complaints!$A$4:$AJ$39,36,)</f>
        <v>0</v>
      </c>
      <c r="N251" s="79">
        <f>VLOOKUP($B212,[11]Complaints!$A$4:$AJ$39,36,)</f>
        <v>0</v>
      </c>
      <c r="O251" s="80">
        <f>VLOOKUP($B212,[12]Complaints!$A$4:$AJ$39,36,)</f>
        <v>0</v>
      </c>
      <c r="P251" s="81">
        <f t="shared" si="62"/>
        <v>0</v>
      </c>
      <c r="Q251" s="82" t="str">
        <f>IF(P251=0,"",P251/$P220)</f>
        <v/>
      </c>
      <c r="R251" s="18"/>
    </row>
    <row r="252" spans="1:19" ht="15.75" customHeight="1" thickBot="1" x14ac:dyDescent="0.25">
      <c r="R252" s="18"/>
    </row>
    <row r="253" spans="1:19" ht="15.75" customHeight="1" x14ac:dyDescent="0.25">
      <c r="B253" s="158" t="s">
        <v>69</v>
      </c>
      <c r="C253" s="159"/>
      <c r="D253" s="32" t="s">
        <v>0</v>
      </c>
      <c r="E253" s="20" t="s">
        <v>1</v>
      </c>
      <c r="F253" s="20" t="s">
        <v>2</v>
      </c>
      <c r="G253" s="20" t="s">
        <v>3</v>
      </c>
      <c r="H253" s="20" t="s">
        <v>4</v>
      </c>
      <c r="I253" s="20" t="s">
        <v>5</v>
      </c>
      <c r="J253" s="20" t="s">
        <v>6</v>
      </c>
      <c r="K253" s="20" t="s">
        <v>7</v>
      </c>
      <c r="L253" s="20" t="s">
        <v>8</v>
      </c>
      <c r="M253" s="20" t="s">
        <v>9</v>
      </c>
      <c r="N253" s="20" t="s">
        <v>10</v>
      </c>
      <c r="O253" s="33" t="s">
        <v>11</v>
      </c>
      <c r="P253" s="35" t="s">
        <v>12</v>
      </c>
      <c r="Q253" s="160" t="s">
        <v>104</v>
      </c>
      <c r="R253" s="18"/>
      <c r="S253" s="19"/>
    </row>
    <row r="254" spans="1:19" ht="15.75" customHeight="1" thickBot="1" x14ac:dyDescent="0.3">
      <c r="B254" s="162" t="s">
        <v>68</v>
      </c>
      <c r="C254" s="163"/>
      <c r="D254" s="34">
        <v>2020</v>
      </c>
      <c r="E254" s="34">
        <v>2020</v>
      </c>
      <c r="F254" s="34">
        <v>2020</v>
      </c>
      <c r="G254" s="34">
        <v>2020</v>
      </c>
      <c r="H254" s="34">
        <v>2020</v>
      </c>
      <c r="I254" s="34">
        <v>2020</v>
      </c>
      <c r="J254" s="34">
        <v>2020</v>
      </c>
      <c r="K254" s="34">
        <v>2020</v>
      </c>
      <c r="L254" s="34">
        <v>2020</v>
      </c>
      <c r="M254" s="25">
        <v>2021</v>
      </c>
      <c r="N254" s="25">
        <v>2021</v>
      </c>
      <c r="O254" s="25">
        <v>2021</v>
      </c>
      <c r="P254" s="36" t="s">
        <v>122</v>
      </c>
      <c r="Q254" s="161"/>
      <c r="R254" s="18"/>
    </row>
    <row r="255" spans="1:19" ht="12.75" customHeight="1" thickBot="1" x14ac:dyDescent="0.25">
      <c r="B255" s="164" t="s">
        <v>38</v>
      </c>
      <c r="C255" s="165"/>
      <c r="D255" s="42">
        <f>VLOOKUP($B254,[1]Complaints!$A$4:$AJ$39,2,)</f>
        <v>9</v>
      </c>
      <c r="E255" s="43">
        <f>VLOOKUP($B254,[2]Complaints!$A$4:$AJ$39,2,)</f>
        <v>15</v>
      </c>
      <c r="F255" s="43">
        <f>VLOOKUP($B254,[3]Complaints!$A$4:$AJ$39,2)</f>
        <v>25</v>
      </c>
      <c r="G255" s="43">
        <f>VLOOKUP($B254,[4]Complaints!$A$4:$AJ$39,2)</f>
        <v>51</v>
      </c>
      <c r="H255" s="43">
        <f>VLOOKUP($B254,[5]Complaints!$A$4:$AJ$39,2)</f>
        <v>49</v>
      </c>
      <c r="I255" s="43">
        <f>VLOOKUP($B254,[6]Complaints!$A$4:$AJ$39,2)</f>
        <v>63</v>
      </c>
      <c r="J255" s="43">
        <f>VLOOKUP($B254,[7]Complaints!$A$4:$AJ$39,2)</f>
        <v>68</v>
      </c>
      <c r="K255" s="43">
        <f>VLOOKUP($B254,[8]Complaints!$A$4:$AJ$39,2)</f>
        <v>68</v>
      </c>
      <c r="L255" s="43">
        <f>VLOOKUP($B254,[9]Complaints!$A$4:$AJ$39,2)</f>
        <v>66</v>
      </c>
      <c r="M255" s="43">
        <f>VLOOKUP($B254,[10]Complaints!$A$4:$AJ$39,2)</f>
        <v>59</v>
      </c>
      <c r="N255" s="43">
        <f>VLOOKUP($B254,[11]Complaints!$A$4:$AJ$39,2)</f>
        <v>0</v>
      </c>
      <c r="O255" s="44">
        <f>VLOOKUP($B254,[12]Complaints!$A$4:$AJ$39,2)</f>
        <v>0</v>
      </c>
      <c r="P255" s="45">
        <f>SUM(D255:O255)</f>
        <v>473</v>
      </c>
      <c r="Q255" s="46"/>
      <c r="R255" s="18"/>
    </row>
    <row r="256" spans="1:19" ht="15.75" customHeight="1" x14ac:dyDescent="0.2">
      <c r="B256" s="166" t="s">
        <v>94</v>
      </c>
      <c r="C256" s="167"/>
      <c r="D256" s="47">
        <f>VLOOKUP($B254,[1]Complaints!$A$4:$AF$39,3,)</f>
        <v>0</v>
      </c>
      <c r="E256" s="48">
        <f>VLOOKUP($B254,[2]Complaints!$A$4:$AF$39,3,)</f>
        <v>0</v>
      </c>
      <c r="F256" s="48">
        <f>VLOOKUP($B254,[3]Complaints!$A$4:$AG$39,3,)</f>
        <v>0</v>
      </c>
      <c r="G256" s="48">
        <f>VLOOKUP($B254,[4]Complaints!$A$4:$AG$39,3,)</f>
        <v>0</v>
      </c>
      <c r="H256" s="48">
        <f>VLOOKUP($B254,[5]Complaints!$A$4:$AG$39,3,)</f>
        <v>0</v>
      </c>
      <c r="I256" s="48">
        <f>VLOOKUP($B254,[6]Complaints!$A$4:$AG$39,3,)</f>
        <v>0</v>
      </c>
      <c r="J256" s="48">
        <f>VLOOKUP($B254,[7]Complaints!$A$4:$AG$39,3,)</f>
        <v>0</v>
      </c>
      <c r="K256" s="48">
        <f>VLOOKUP($B254,[8]Complaints!$A$4:$AG$39,3,)</f>
        <v>0</v>
      </c>
      <c r="L256" s="48">
        <f>VLOOKUP($B254,[9]Complaints!$A$4:$AG$39,3,)</f>
        <v>0</v>
      </c>
      <c r="M256" s="48">
        <f>VLOOKUP($B254,[10]Complaints!$A$4:$AG$39,3,)</f>
        <v>0</v>
      </c>
      <c r="N256" s="48">
        <f>VLOOKUP($B254,[11]Complaints!$A$4:$AG$39,3,)</f>
        <v>0</v>
      </c>
      <c r="O256" s="49">
        <f>VLOOKUP($B254,[12]Complaints!$A$4:$AG$39,3,)</f>
        <v>0</v>
      </c>
      <c r="P256" s="45">
        <f>SUM(D256:O256)</f>
        <v>0</v>
      </c>
      <c r="Q256" s="50"/>
      <c r="R256" s="18"/>
    </row>
    <row r="257" spans="2:18" ht="15.75" customHeight="1" x14ac:dyDescent="0.2">
      <c r="B257" s="26"/>
      <c r="C257" s="28" t="s">
        <v>102</v>
      </c>
      <c r="D257" s="51">
        <f>IF(D255=0,"",D256/D255)</f>
        <v>0</v>
      </c>
      <c r="E257" s="52">
        <f t="shared" ref="E257:O257" si="63">IF(E255=0,"",E256/E255)</f>
        <v>0</v>
      </c>
      <c r="F257" s="52">
        <f t="shared" si="63"/>
        <v>0</v>
      </c>
      <c r="G257" s="52">
        <f t="shared" si="63"/>
        <v>0</v>
      </c>
      <c r="H257" s="52">
        <f t="shared" si="63"/>
        <v>0</v>
      </c>
      <c r="I257" s="52">
        <f t="shared" si="63"/>
        <v>0</v>
      </c>
      <c r="J257" s="52">
        <f t="shared" si="63"/>
        <v>0</v>
      </c>
      <c r="K257" s="52">
        <f t="shared" si="63"/>
        <v>0</v>
      </c>
      <c r="L257" s="52">
        <f t="shared" si="63"/>
        <v>0</v>
      </c>
      <c r="M257" s="52">
        <f t="shared" si="63"/>
        <v>0</v>
      </c>
      <c r="N257" s="52" t="str">
        <f t="shared" si="63"/>
        <v/>
      </c>
      <c r="O257" s="53" t="str">
        <f t="shared" si="63"/>
        <v/>
      </c>
      <c r="P257" s="54">
        <f>IF(P256="","",P256/P255)</f>
        <v>0</v>
      </c>
      <c r="Q257" s="50"/>
      <c r="R257" s="18"/>
    </row>
    <row r="258" spans="2:18" s="21" customFormat="1" ht="15.75" customHeight="1" x14ac:dyDescent="0.2">
      <c r="B258" s="155" t="s">
        <v>95</v>
      </c>
      <c r="C258" s="156"/>
      <c r="D258" s="47">
        <f>VLOOKUP($B254,[1]Complaints!$A$4:$AF$39,4,)</f>
        <v>0</v>
      </c>
      <c r="E258" s="48">
        <f>VLOOKUP($B254,[2]Complaints!$A$4:$AF$39,4,)</f>
        <v>0</v>
      </c>
      <c r="F258" s="48">
        <f>VLOOKUP($B254,[3]Complaints!$A$4:$AG$39,4,)</f>
        <v>0</v>
      </c>
      <c r="G258" s="48">
        <f>VLOOKUP($B254,[4]Complaints!$A$4:$AG$39,4,)</f>
        <v>0</v>
      </c>
      <c r="H258" s="48">
        <f>VLOOKUP($B254,[5]Complaints!$A$4:$AG$39,4,)</f>
        <v>0</v>
      </c>
      <c r="I258" s="48">
        <f>VLOOKUP($B254,[6]Complaints!$A$4:$AG$39,4,)</f>
        <v>0</v>
      </c>
      <c r="J258" s="48">
        <f>VLOOKUP($B254,[7]Complaints!$A$4:$AG$39,4,)</f>
        <v>0</v>
      </c>
      <c r="K258" s="48">
        <f>VLOOKUP($B254,[8]Complaints!$A$4:$AG$39,4,)</f>
        <v>0</v>
      </c>
      <c r="L258" s="48">
        <f>VLOOKUP($B254,[9]Complaints!$A$4:$AG$39,4,)</f>
        <v>0</v>
      </c>
      <c r="M258" s="48">
        <f>VLOOKUP($B254,[10]Complaints!$A$4:$AG$39,4,)</f>
        <v>0</v>
      </c>
      <c r="N258" s="48">
        <f>VLOOKUP($B254,[11]Complaints!$A$4:$AG$39,4,)</f>
        <v>0</v>
      </c>
      <c r="O258" s="49">
        <f>VLOOKUP($B254,[12]Complaints!$A$4:$AG$39,4,)</f>
        <v>0</v>
      </c>
      <c r="P258" s="55">
        <f t="shared" ref="P258" si="64">SUM(D258:O258)</f>
        <v>0</v>
      </c>
      <c r="Q258" s="50"/>
    </row>
    <row r="259" spans="2:18" ht="15.75" customHeight="1" x14ac:dyDescent="0.2">
      <c r="B259" s="26"/>
      <c r="C259" s="28" t="s">
        <v>98</v>
      </c>
      <c r="D259" s="51">
        <f>IF(D255=0,"",D258/D255)</f>
        <v>0</v>
      </c>
      <c r="E259" s="52">
        <f t="shared" ref="E259:O259" si="65">IF(E255=0,"",E258/E255)</f>
        <v>0</v>
      </c>
      <c r="F259" s="52">
        <f t="shared" si="65"/>
        <v>0</v>
      </c>
      <c r="G259" s="52">
        <f t="shared" si="65"/>
        <v>0</v>
      </c>
      <c r="H259" s="52">
        <f t="shared" si="65"/>
        <v>0</v>
      </c>
      <c r="I259" s="52">
        <f t="shared" si="65"/>
        <v>0</v>
      </c>
      <c r="J259" s="52">
        <f t="shared" si="65"/>
        <v>0</v>
      </c>
      <c r="K259" s="52">
        <f t="shared" si="65"/>
        <v>0</v>
      </c>
      <c r="L259" s="52">
        <f t="shared" si="65"/>
        <v>0</v>
      </c>
      <c r="M259" s="52">
        <f t="shared" si="65"/>
        <v>0</v>
      </c>
      <c r="N259" s="52" t="str">
        <f t="shared" si="65"/>
        <v/>
      </c>
      <c r="O259" s="53" t="str">
        <f t="shared" si="65"/>
        <v/>
      </c>
      <c r="P259" s="54">
        <f>IF(P258="","",P258/P255)</f>
        <v>0</v>
      </c>
      <c r="Q259" s="50"/>
      <c r="R259" s="18"/>
    </row>
    <row r="260" spans="2:18" ht="15.75" customHeight="1" x14ac:dyDescent="0.2">
      <c r="B260" s="155" t="s">
        <v>96</v>
      </c>
      <c r="C260" s="156"/>
      <c r="D260" s="47">
        <f>VLOOKUP($B254,[1]Complaints!$A$4:$AF$39,5,)</f>
        <v>0</v>
      </c>
      <c r="E260" s="48">
        <f>VLOOKUP($B254,[2]Complaints!$A$4:$AF$39,5,)</f>
        <v>0</v>
      </c>
      <c r="F260" s="48">
        <f>VLOOKUP($B254,[3]Complaints!$A$4:$AG$39,5,)</f>
        <v>0</v>
      </c>
      <c r="G260" s="48">
        <f>VLOOKUP($B254,[4]Complaints!$A$4:$AG$39,5,)</f>
        <v>0</v>
      </c>
      <c r="H260" s="48">
        <f>VLOOKUP($B254,[5]Complaints!$A$4:$AG$39,5,)</f>
        <v>0</v>
      </c>
      <c r="I260" s="48">
        <f>VLOOKUP($B254,[6]Complaints!$A$4:$AG$39,5,)</f>
        <v>0</v>
      </c>
      <c r="J260" s="48">
        <f>VLOOKUP($B254,[7]Complaints!$A$4:$AG$39,5,)</f>
        <v>0</v>
      </c>
      <c r="K260" s="48">
        <f>VLOOKUP($B254,[8]Complaints!$A$4:$AG$39,5,)</f>
        <v>0</v>
      </c>
      <c r="L260" s="48">
        <f>VLOOKUP($B254,[9]Complaints!$A$4:$AG$39,5,)</f>
        <v>0</v>
      </c>
      <c r="M260" s="48">
        <f>VLOOKUP($B254,[10]Complaints!$A$4:$AG$39,5,)</f>
        <v>0</v>
      </c>
      <c r="N260" s="48">
        <f>VLOOKUP($B254,[11]Complaints!$A$4:$AG$39,5,)</f>
        <v>0</v>
      </c>
      <c r="O260" s="49">
        <f>VLOOKUP($B254,[12]Complaints!$A$4:$AG$39,5,)</f>
        <v>0</v>
      </c>
      <c r="P260" s="55">
        <f t="shared" ref="P260" si="66">SUM(D260:O260)</f>
        <v>0</v>
      </c>
      <c r="Q260" s="50"/>
      <c r="R260" s="18"/>
    </row>
    <row r="261" spans="2:18" ht="15.75" customHeight="1" x14ac:dyDescent="0.2">
      <c r="B261" s="26"/>
      <c r="C261" s="28" t="s">
        <v>99</v>
      </c>
      <c r="D261" s="51">
        <f>IF(D255=0,"",D260/D255)</f>
        <v>0</v>
      </c>
      <c r="E261" s="52">
        <f t="shared" ref="E261:O261" si="67">IF(E255=0,"",E260/E255)</f>
        <v>0</v>
      </c>
      <c r="F261" s="52">
        <f t="shared" si="67"/>
        <v>0</v>
      </c>
      <c r="G261" s="52">
        <f t="shared" si="67"/>
        <v>0</v>
      </c>
      <c r="H261" s="52">
        <f t="shared" si="67"/>
        <v>0</v>
      </c>
      <c r="I261" s="52">
        <f t="shared" si="67"/>
        <v>0</v>
      </c>
      <c r="J261" s="52">
        <f t="shared" si="67"/>
        <v>0</v>
      </c>
      <c r="K261" s="52">
        <f t="shared" si="67"/>
        <v>0</v>
      </c>
      <c r="L261" s="52">
        <f t="shared" si="67"/>
        <v>0</v>
      </c>
      <c r="M261" s="52">
        <f t="shared" si="67"/>
        <v>0</v>
      </c>
      <c r="N261" s="52" t="str">
        <f t="shared" si="67"/>
        <v/>
      </c>
      <c r="O261" s="53" t="str">
        <f t="shared" si="67"/>
        <v/>
      </c>
      <c r="P261" s="54">
        <f>IF(P260="","",P260/P255)</f>
        <v>0</v>
      </c>
      <c r="Q261" s="50"/>
      <c r="R261" s="18"/>
    </row>
    <row r="262" spans="2:18" ht="15.75" customHeight="1" x14ac:dyDescent="0.2">
      <c r="B262" s="157" t="s">
        <v>97</v>
      </c>
      <c r="C262" s="156"/>
      <c r="D262" s="47">
        <f>VLOOKUP($B254,[1]Complaints!$A$4:$AF$39,6,)</f>
        <v>0</v>
      </c>
      <c r="E262" s="48">
        <f>VLOOKUP($B254,[2]Complaints!$A$4:$AF$39,6,)</f>
        <v>0</v>
      </c>
      <c r="F262" s="48">
        <f>VLOOKUP($B254,[3]Complaints!$A$4:$AG$39,6,)</f>
        <v>0</v>
      </c>
      <c r="G262" s="48">
        <f>VLOOKUP($B254,[4]Complaints!$A$4:$AG$39,6,)</f>
        <v>0</v>
      </c>
      <c r="H262" s="48">
        <f>VLOOKUP($B254,[5]Complaints!$A$4:$AG$39,6,)</f>
        <v>0</v>
      </c>
      <c r="I262" s="48">
        <f>VLOOKUP($B254,[6]Complaints!$A$4:$AG$39,6,)</f>
        <v>0</v>
      </c>
      <c r="J262" s="48">
        <f>VLOOKUP($B254,[7]Complaints!$A$4:$AG$39,6,)</f>
        <v>0</v>
      </c>
      <c r="K262" s="48">
        <f>VLOOKUP($B254,[8]Complaints!$A$4:$AG$39,6,)</f>
        <v>0</v>
      </c>
      <c r="L262" s="48">
        <f>VLOOKUP($B254,[9]Complaints!$A$4:$AG$39,6,)</f>
        <v>0</v>
      </c>
      <c r="M262" s="48">
        <f>VLOOKUP($B254,[10]Complaints!$A$4:$AG$39,6,)</f>
        <v>0</v>
      </c>
      <c r="N262" s="48">
        <f>VLOOKUP($B254,[11]Complaints!$A$4:$AG$39,6,)</f>
        <v>0</v>
      </c>
      <c r="O262" s="49">
        <f>VLOOKUP($B254,[12]Complaints!$A$4:$AG$39,6,)</f>
        <v>0</v>
      </c>
      <c r="P262" s="55">
        <f t="shared" ref="P262" si="68">SUM(D262:O262)</f>
        <v>0</v>
      </c>
      <c r="Q262" s="50"/>
      <c r="R262" s="18"/>
    </row>
    <row r="263" spans="2:18" ht="15.75" customHeight="1" thickBot="1" x14ac:dyDescent="0.25">
      <c r="B263" s="27"/>
      <c r="C263" s="29" t="s">
        <v>100</v>
      </c>
      <c r="D263" s="56" t="str">
        <f>IF(D262=0,"",D262/D260)</f>
        <v/>
      </c>
      <c r="E263" s="57" t="str">
        <f t="shared" ref="E263:H263" si="69">IF(E262=0,"",E262/E260)</f>
        <v/>
      </c>
      <c r="F263" s="57" t="str">
        <f t="shared" si="69"/>
        <v/>
      </c>
      <c r="G263" s="57" t="str">
        <f t="shared" si="69"/>
        <v/>
      </c>
      <c r="H263" s="57" t="str">
        <f t="shared" si="69"/>
        <v/>
      </c>
      <c r="I263" s="57" t="str">
        <f>IF(I262=0,"",I262/I260)</f>
        <v/>
      </c>
      <c r="J263" s="57" t="str">
        <f t="shared" ref="J263:O263" si="70">IF(J262=0,"",J262/J260)</f>
        <v/>
      </c>
      <c r="K263" s="57" t="str">
        <f t="shared" si="70"/>
        <v/>
      </c>
      <c r="L263" s="57" t="str">
        <f t="shared" si="70"/>
        <v/>
      </c>
      <c r="M263" s="57" t="str">
        <f t="shared" si="70"/>
        <v/>
      </c>
      <c r="N263" s="57" t="str">
        <f t="shared" si="70"/>
        <v/>
      </c>
      <c r="O263" s="58" t="str">
        <f t="shared" si="70"/>
        <v/>
      </c>
      <c r="P263" s="59" t="str">
        <f>IF(P262=0,"",P262/P260)</f>
        <v/>
      </c>
      <c r="Q263" s="60"/>
      <c r="R263" s="18"/>
    </row>
    <row r="264" spans="2:18" ht="15.75" customHeight="1" x14ac:dyDescent="0.2">
      <c r="B264" s="168" t="s">
        <v>103</v>
      </c>
      <c r="C264" s="30" t="s">
        <v>77</v>
      </c>
      <c r="D264" s="61">
        <f>VLOOKUP($B254,[1]Complaints!$A$4:$AJ$39,7,)</f>
        <v>0</v>
      </c>
      <c r="E264" s="43">
        <f>VLOOKUP($B254,[2]Complaints!$A$4:$AJ$39,7,)</f>
        <v>0</v>
      </c>
      <c r="F264" s="43">
        <f>VLOOKUP($B254,[3]Complaints!$A$4:$AJ$39,7,)</f>
        <v>0</v>
      </c>
      <c r="G264" s="43">
        <f>VLOOKUP($B254,[4]Complaints!$A$4:$AJ$39,7,)</f>
        <v>0</v>
      </c>
      <c r="H264" s="43">
        <f>VLOOKUP($B254,[5]Complaints!$A$4:$AJ$39,7,)</f>
        <v>0</v>
      </c>
      <c r="I264" s="43">
        <f>VLOOKUP($B254,[6]Complaints!$A$4:$AJ$39,7,)</f>
        <v>0</v>
      </c>
      <c r="J264" s="43">
        <f>VLOOKUP($B254,[7]Complaints!$A$4:$AJ$39,7,)</f>
        <v>0</v>
      </c>
      <c r="K264" s="43">
        <f>VLOOKUP($B254,[8]Complaints!$A$4:$AJ$39,7,)</f>
        <v>0</v>
      </c>
      <c r="L264" s="43">
        <f>VLOOKUP($B254,[9]Complaints!$A$4:$AJ$39,7,)</f>
        <v>0</v>
      </c>
      <c r="M264" s="43">
        <f>VLOOKUP($B254,[10]Complaints!$A$4:$AJ$39,7,)</f>
        <v>0</v>
      </c>
      <c r="N264" s="43">
        <f>VLOOKUP($B254,[11]Complaints!$A$4:$AJ$39,7,)</f>
        <v>0</v>
      </c>
      <c r="O264" s="44">
        <f>VLOOKUP($B254,[12]Complaints!$A$4:$AJ$39,7,)</f>
        <v>0</v>
      </c>
      <c r="P264" s="45">
        <f>SUM(D264:O264)</f>
        <v>0</v>
      </c>
      <c r="Q264" s="46" t="str">
        <f>IF(P264=0,"",P264/$P256)</f>
        <v/>
      </c>
      <c r="R264" s="18"/>
    </row>
    <row r="265" spans="2:18" ht="15.75" customHeight="1" x14ac:dyDescent="0.2">
      <c r="B265" s="169"/>
      <c r="C265" s="31" t="s">
        <v>89</v>
      </c>
      <c r="D265" s="47">
        <f>VLOOKUP($B254,[1]Complaints!$A$4:$AJ$39,8,)</f>
        <v>0</v>
      </c>
      <c r="E265" s="48">
        <f>VLOOKUP($B254,[2]Complaints!$A$4:$AJ$39,8,)</f>
        <v>0</v>
      </c>
      <c r="F265" s="48">
        <f>VLOOKUP($B254,[3]Complaints!$A$4:$AJ$39,8,)</f>
        <v>0</v>
      </c>
      <c r="G265" s="48">
        <f>VLOOKUP($B254,[4]Complaints!$A$4:$AJ$39,8,)</f>
        <v>0</v>
      </c>
      <c r="H265" s="48">
        <f>VLOOKUP($B254,[5]Complaints!$A$4:$AJ$39,8,)</f>
        <v>0</v>
      </c>
      <c r="I265" s="48">
        <f>VLOOKUP($B254,[6]Complaints!$A$4:$AJ$39,8,)</f>
        <v>0</v>
      </c>
      <c r="J265" s="48">
        <f>VLOOKUP($B254,[7]Complaints!$A$4:$AJ$39,8,)</f>
        <v>0</v>
      </c>
      <c r="K265" s="48">
        <f>VLOOKUP($B254,[8]Complaints!$A$4:$AJ$39,8,)</f>
        <v>0</v>
      </c>
      <c r="L265" s="48">
        <f>VLOOKUP($B254,[9]Complaints!$A$4:$AJ$39,8,)</f>
        <v>0</v>
      </c>
      <c r="M265" s="48">
        <f>VLOOKUP($B254,[10]Complaints!$A$4:$AJ$39,8,)</f>
        <v>0</v>
      </c>
      <c r="N265" s="48">
        <f>VLOOKUP($B254,[11]Complaints!$A$4:$AJ$39,8,)</f>
        <v>0</v>
      </c>
      <c r="O265" s="49">
        <f>VLOOKUP($B254,[12]Complaints!$A$4:$AJ$39,8,)</f>
        <v>0</v>
      </c>
      <c r="P265" s="55">
        <f t="shared" ref="P265:P266" si="71">SUM(D265:O265)</f>
        <v>0</v>
      </c>
      <c r="Q265" s="50" t="e">
        <f>IF(P265="","",P265/$P256)</f>
        <v>#DIV/0!</v>
      </c>
      <c r="R265" s="18"/>
    </row>
    <row r="266" spans="2:18" ht="15.75" customHeight="1" x14ac:dyDescent="0.2">
      <c r="B266" s="169"/>
      <c r="C266" s="31" t="s">
        <v>88</v>
      </c>
      <c r="D266" s="47">
        <f>VLOOKUP($B254,[1]Complaints!$A$4:$AJ$39,9,)</f>
        <v>0</v>
      </c>
      <c r="E266" s="48">
        <f>VLOOKUP($B254,[2]Complaints!$A$4:$AJ$39,9,)</f>
        <v>0</v>
      </c>
      <c r="F266" s="48">
        <f>VLOOKUP($B254,[3]Complaints!$A$4:$AJ$39,9,)</f>
        <v>0</v>
      </c>
      <c r="G266" s="48">
        <f>VLOOKUP($B254,[4]Complaints!$A$4:$AJ$39,9,)</f>
        <v>0</v>
      </c>
      <c r="H266" s="48">
        <f>VLOOKUP($B254,[5]Complaints!$A$4:$AJ$39,9,)</f>
        <v>0</v>
      </c>
      <c r="I266" s="48">
        <f>VLOOKUP($B254,[6]Complaints!$A$4:$AJ$39,9,)</f>
        <v>0</v>
      </c>
      <c r="J266" s="48">
        <f>VLOOKUP($B254,[7]Complaints!$A$4:$AJ$39,9,)</f>
        <v>0</v>
      </c>
      <c r="K266" s="48">
        <f>VLOOKUP($B254,[8]Complaints!$A$4:$AJ$39,9,)</f>
        <v>0</v>
      </c>
      <c r="L266" s="48">
        <f>VLOOKUP($B254,[9]Complaints!$A$4:$AJ$39,9,)</f>
        <v>0</v>
      </c>
      <c r="M266" s="48">
        <f>VLOOKUP($B254,[10]Complaints!$A$4:$AJ$39,9,)</f>
        <v>0</v>
      </c>
      <c r="N266" s="48">
        <f>VLOOKUP($B254,[11]Complaints!$A$4:$AJ$39,9,)</f>
        <v>0</v>
      </c>
      <c r="O266" s="49">
        <f>VLOOKUP($B254,[12]Complaints!$A$4:$AJ$39,9,)</f>
        <v>0</v>
      </c>
      <c r="P266" s="55">
        <f t="shared" si="71"/>
        <v>0</v>
      </c>
      <c r="Q266" s="50" t="str">
        <f>IF(P266=0,"",P266/$P256)</f>
        <v/>
      </c>
      <c r="R266" s="18"/>
    </row>
    <row r="267" spans="2:18" ht="15.75" customHeight="1" x14ac:dyDescent="0.2">
      <c r="B267" s="169"/>
      <c r="C267" s="31" t="s">
        <v>13</v>
      </c>
      <c r="D267" s="47">
        <f>VLOOKUP($B254,[1]Complaints!$A$4:$AJ$39,10,)</f>
        <v>0</v>
      </c>
      <c r="E267" s="48">
        <f>VLOOKUP($B254,[2]Complaints!$A$4:$AJ$39,10,)</f>
        <v>0</v>
      </c>
      <c r="F267" s="48">
        <f>VLOOKUP($B254,[3]Complaints!$A$4:$AJ$39,10,)</f>
        <v>0</v>
      </c>
      <c r="G267" s="48">
        <f>VLOOKUP($B254,[4]Complaints!$A$4:$AJ$39,10,)</f>
        <v>0</v>
      </c>
      <c r="H267" s="48">
        <f>VLOOKUP($B254,[5]Complaints!$A$4:$AJ$39,10,)</f>
        <v>0</v>
      </c>
      <c r="I267" s="48">
        <f>VLOOKUP($B254,[6]Complaints!$A$4:$AJ$39,10,)</f>
        <v>0</v>
      </c>
      <c r="J267" s="48">
        <f>VLOOKUP($B254,[7]Complaints!$A$4:$AJ$39,10,)</f>
        <v>0</v>
      </c>
      <c r="K267" s="48">
        <f>VLOOKUP($B254,[8]Complaints!$A$4:$AJ$39,10,)</f>
        <v>0</v>
      </c>
      <c r="L267" s="48">
        <f>VLOOKUP($B254,[9]Complaints!$A$4:$AJ$39,10,)</f>
        <v>0</v>
      </c>
      <c r="M267" s="48">
        <f>VLOOKUP($B254,[10]Complaints!$A$4:$AJ$39,10,)</f>
        <v>0</v>
      </c>
      <c r="N267" s="48">
        <f>VLOOKUP($B254,[11]Complaints!$A$4:$AJ$39,10,)</f>
        <v>0</v>
      </c>
      <c r="O267" s="49">
        <f>VLOOKUP($B254,[12]Complaints!$A$4:$AJ$39,10,)</f>
        <v>0</v>
      </c>
      <c r="P267" s="55">
        <f>SUM(D267:O267)</f>
        <v>0</v>
      </c>
      <c r="Q267" s="50" t="str">
        <f>IF(P267=0,"",P267/$P256)</f>
        <v/>
      </c>
      <c r="R267" s="18"/>
    </row>
    <row r="268" spans="2:18" ht="15.75" customHeight="1" x14ac:dyDescent="0.2">
      <c r="B268" s="169"/>
      <c r="C268" s="31" t="s">
        <v>101</v>
      </c>
      <c r="D268" s="47">
        <f>VLOOKUP($B254,[1]Complaints!$A$4:$AJ$39,11,)</f>
        <v>0</v>
      </c>
      <c r="E268" s="48">
        <f>VLOOKUP($B254,[2]Complaints!$A$4:$AJ$39,11,)</f>
        <v>0</v>
      </c>
      <c r="F268" s="48">
        <f>VLOOKUP($B254,[3]Complaints!$A$4:$AJ$39,11,)</f>
        <v>0</v>
      </c>
      <c r="G268" s="48">
        <f>VLOOKUP($B254,[4]Complaints!$A$4:$AJ$39,11,)</f>
        <v>0</v>
      </c>
      <c r="H268" s="48">
        <f>VLOOKUP($B254,[5]Complaints!$A$4:$AJ$39,11,)</f>
        <v>0</v>
      </c>
      <c r="I268" s="48">
        <f>VLOOKUP($B254,[6]Complaints!$A$4:$AJ$39,11,)</f>
        <v>0</v>
      </c>
      <c r="J268" s="48">
        <f>VLOOKUP($B254,[7]Complaints!$A$4:$AJ$39,11,)</f>
        <v>0</v>
      </c>
      <c r="K268" s="48">
        <f>VLOOKUP($B254,[8]Complaints!$A$4:$AJ$39,11,)</f>
        <v>0</v>
      </c>
      <c r="L268" s="48">
        <f>VLOOKUP($B254,[9]Complaints!$A$4:$AJ$39,11,)</f>
        <v>0</v>
      </c>
      <c r="M268" s="48">
        <f>VLOOKUP($B254,[10]Complaints!$A$4:$AJ$39,11,)</f>
        <v>0</v>
      </c>
      <c r="N268" s="48">
        <f>VLOOKUP($B254,[11]Complaints!$A$4:$AJ$39,11,)</f>
        <v>0</v>
      </c>
      <c r="O268" s="49">
        <f>VLOOKUP($B254,[12]Complaints!$A$4:$AJ$39,11,)</f>
        <v>0</v>
      </c>
      <c r="P268" s="55">
        <f t="shared" ref="P268:P277" si="72">SUM(D268:O268)</f>
        <v>0</v>
      </c>
      <c r="Q268" s="50" t="str">
        <f>IF(P268=0,"",P268/$P256)</f>
        <v/>
      </c>
      <c r="R268" s="18"/>
    </row>
    <row r="269" spans="2:18" s="19" customFormat="1" ht="15.75" customHeight="1" x14ac:dyDescent="0.2">
      <c r="B269" s="169"/>
      <c r="C269" s="31" t="s">
        <v>93</v>
      </c>
      <c r="D269" s="47">
        <f>VLOOKUP($B254,[1]Complaints!$A$4:$AJ$39,12,)</f>
        <v>0</v>
      </c>
      <c r="E269" s="48">
        <f>VLOOKUP($B254,[2]Complaints!$A$4:$AJ$39,12,)</f>
        <v>0</v>
      </c>
      <c r="F269" s="48">
        <f>VLOOKUP($B254,[3]Complaints!$A$4:$AJ$39,12,)</f>
        <v>0</v>
      </c>
      <c r="G269" s="48">
        <f>VLOOKUP($B254,[4]Complaints!$A$4:$AJ$39,12,)</f>
        <v>0</v>
      </c>
      <c r="H269" s="48">
        <f>VLOOKUP($B254,[5]Complaints!$A$4:$AJ$39,12,)</f>
        <v>0</v>
      </c>
      <c r="I269" s="48">
        <f>VLOOKUP($B254,[6]Complaints!$A$4:$AJ$39,12,)</f>
        <v>0</v>
      </c>
      <c r="J269" s="48">
        <f>VLOOKUP($B254,[7]Complaints!$A$4:$AJ$39,12,)</f>
        <v>0</v>
      </c>
      <c r="K269" s="48">
        <f>VLOOKUP($B254,[8]Complaints!$A$4:$AJ$39,12,)</f>
        <v>0</v>
      </c>
      <c r="L269" s="48">
        <f>VLOOKUP($B254,[9]Complaints!$A$4:$AJ$39,12,)</f>
        <v>0</v>
      </c>
      <c r="M269" s="48">
        <f>VLOOKUP($B254,[10]Complaints!$A$4:$AJ$39,12,)</f>
        <v>0</v>
      </c>
      <c r="N269" s="48">
        <f>VLOOKUP($B254,[11]Complaints!$A$4:$AJ$39,12,)</f>
        <v>0</v>
      </c>
      <c r="O269" s="49">
        <f>VLOOKUP($B254,[12]Complaints!$A$4:$AJ$39,12,)</f>
        <v>0</v>
      </c>
      <c r="P269" s="55">
        <f t="shared" si="72"/>
        <v>0</v>
      </c>
      <c r="Q269" s="50" t="str">
        <f>IF(P269=0,"",P269/$P256)</f>
        <v/>
      </c>
    </row>
    <row r="270" spans="2:18" ht="15.75" customHeight="1" x14ac:dyDescent="0.2">
      <c r="B270" s="169"/>
      <c r="C270" s="31" t="s">
        <v>78</v>
      </c>
      <c r="D270" s="47">
        <f>VLOOKUP($B254,[1]Complaints!$A$4:$AJ$39,13,)</f>
        <v>0</v>
      </c>
      <c r="E270" s="48">
        <f>VLOOKUP($B254,[2]Complaints!$A$4:$AJ$39,13,)</f>
        <v>0</v>
      </c>
      <c r="F270" s="48">
        <f>VLOOKUP($B254,[3]Complaints!$A$4:$AJ$39,13,)</f>
        <v>0</v>
      </c>
      <c r="G270" s="48">
        <f>VLOOKUP($B254,[4]Complaints!$A$4:$AJ$39,13,)</f>
        <v>0</v>
      </c>
      <c r="H270" s="48">
        <f>VLOOKUP($B254,[5]Complaints!$A$4:$AJ$39,13,)</f>
        <v>0</v>
      </c>
      <c r="I270" s="48">
        <f>VLOOKUP($B254,[6]Complaints!$A$4:$AJ$39,13,)</f>
        <v>0</v>
      </c>
      <c r="J270" s="48">
        <f>VLOOKUP($B254,[7]Complaints!$A$4:$AJ$39,13,)</f>
        <v>0</v>
      </c>
      <c r="K270" s="48">
        <f>VLOOKUP($B254,[8]Complaints!$A$4:$AJ$39,13,)</f>
        <v>0</v>
      </c>
      <c r="L270" s="48">
        <f>VLOOKUP($B254,[9]Complaints!$A$4:$AJ$39,13,)</f>
        <v>0</v>
      </c>
      <c r="M270" s="48">
        <f>VLOOKUP($B254,[10]Complaints!$A$4:$AJ$39,13,)</f>
        <v>0</v>
      </c>
      <c r="N270" s="48">
        <f>VLOOKUP($B254,[11]Complaints!$A$4:$AJ$39,13,)</f>
        <v>0</v>
      </c>
      <c r="O270" s="49">
        <f>VLOOKUP($B254,[12]Complaints!$A$4:$AJ$39,13,)</f>
        <v>0</v>
      </c>
      <c r="P270" s="55">
        <f t="shared" si="72"/>
        <v>0</v>
      </c>
      <c r="Q270" s="50" t="str">
        <f>IF(P270=0,"",P270/$P256)</f>
        <v/>
      </c>
      <c r="R270" s="18"/>
    </row>
    <row r="271" spans="2:18" ht="15.75" customHeight="1" x14ac:dyDescent="0.2">
      <c r="B271" s="169"/>
      <c r="C271" s="31" t="s">
        <v>92</v>
      </c>
      <c r="D271" s="47">
        <f>VLOOKUP($B254,[1]Complaints!$A$4:$AJ$39,14,)</f>
        <v>0</v>
      </c>
      <c r="E271" s="48">
        <f>VLOOKUP($B254,[2]Complaints!$A$4:$AJ$39,14,)</f>
        <v>0</v>
      </c>
      <c r="F271" s="48">
        <f>VLOOKUP($B254,[3]Complaints!$A$4:$AJ$39,14,)</f>
        <v>0</v>
      </c>
      <c r="G271" s="48">
        <f>VLOOKUP($B254,[4]Complaints!$A$4:$AJ$39,14,)</f>
        <v>0</v>
      </c>
      <c r="H271" s="48">
        <f>VLOOKUP($B254,[5]Complaints!$A$4:$AJ$39,14,)</f>
        <v>0</v>
      </c>
      <c r="I271" s="48">
        <f>VLOOKUP($B254,[6]Complaints!$A$4:$AJ$39,14,)</f>
        <v>0</v>
      </c>
      <c r="J271" s="48">
        <f>VLOOKUP($B254,[7]Complaints!$A$4:$AJ$39,14,)</f>
        <v>0</v>
      </c>
      <c r="K271" s="48">
        <f>VLOOKUP($B254,[8]Complaints!$A$4:$AJ$39,14,)</f>
        <v>0</v>
      </c>
      <c r="L271" s="48">
        <f>VLOOKUP($B254,[9]Complaints!$A$4:$AJ$39,14,)</f>
        <v>0</v>
      </c>
      <c r="M271" s="48">
        <f>VLOOKUP($B254,[10]Complaints!$A$4:$AJ$39,14,)</f>
        <v>0</v>
      </c>
      <c r="N271" s="48">
        <f>VLOOKUP($B254,[11]Complaints!$A$4:$AJ$39,14,)</f>
        <v>0</v>
      </c>
      <c r="O271" s="49">
        <f>VLOOKUP($B254,[12]Complaints!$A$4:$AJ$39,14,)</f>
        <v>0</v>
      </c>
      <c r="P271" s="55">
        <f t="shared" si="72"/>
        <v>0</v>
      </c>
      <c r="Q271" s="50" t="str">
        <f>IF(P271=0,"",P271/$P256)</f>
        <v/>
      </c>
      <c r="R271" s="18"/>
    </row>
    <row r="272" spans="2:18" ht="15.75" customHeight="1" x14ac:dyDescent="0.2">
      <c r="B272" s="169"/>
      <c r="C272" s="31" t="s">
        <v>91</v>
      </c>
      <c r="D272" s="47">
        <f>VLOOKUP($B254,[1]Complaints!$A$4:$AJ$39,15,)</f>
        <v>0</v>
      </c>
      <c r="E272" s="48">
        <f>VLOOKUP($B254,[2]Complaints!$A$4:$AJ$39,15,)</f>
        <v>0</v>
      </c>
      <c r="F272" s="48">
        <f>VLOOKUP($B254,[3]Complaints!$A$4:$AJ$39,15,)</f>
        <v>0</v>
      </c>
      <c r="G272" s="48">
        <f>VLOOKUP($B254,[4]Complaints!$A$4:$AJ$39,15,)</f>
        <v>0</v>
      </c>
      <c r="H272" s="48">
        <f>VLOOKUP($B254,[5]Complaints!$A$4:$AJ$39,15,)</f>
        <v>0</v>
      </c>
      <c r="I272" s="48">
        <f>VLOOKUP($B254,[6]Complaints!$A$4:$AJ$39,15,)</f>
        <v>0</v>
      </c>
      <c r="J272" s="48">
        <f>VLOOKUP($B254,[7]Complaints!$A$4:$AJ$39,15,)</f>
        <v>0</v>
      </c>
      <c r="K272" s="48">
        <f>VLOOKUP($B254,[8]Complaints!$A$4:$AJ$39,15,)</f>
        <v>0</v>
      </c>
      <c r="L272" s="48">
        <f>VLOOKUP($B254,[9]Complaints!$A$4:$AJ$39,15,)</f>
        <v>0</v>
      </c>
      <c r="M272" s="48">
        <f>VLOOKUP($B254,[10]Complaints!$A$4:$AJ$39,15,)</f>
        <v>0</v>
      </c>
      <c r="N272" s="48">
        <f>VLOOKUP($B254,[11]Complaints!$A$4:$AJ$39,15,)</f>
        <v>0</v>
      </c>
      <c r="O272" s="49">
        <f>VLOOKUP($B254,[12]Complaints!$A$4:$AJ$39,15,)</f>
        <v>0</v>
      </c>
      <c r="P272" s="55">
        <f t="shared" si="72"/>
        <v>0</v>
      </c>
      <c r="Q272" s="50" t="str">
        <f>IF(P272=0,"",P272/$P256)</f>
        <v/>
      </c>
      <c r="R272" s="18"/>
    </row>
    <row r="273" spans="1:19" ht="15.75" customHeight="1" x14ac:dyDescent="0.2">
      <c r="B273" s="169"/>
      <c r="C273" s="31" t="s">
        <v>79</v>
      </c>
      <c r="D273" s="47">
        <f>VLOOKUP($B254,[1]Complaints!$A$4:$AJ$39,16,)</f>
        <v>0</v>
      </c>
      <c r="E273" s="48">
        <f>VLOOKUP($B254,[2]Complaints!$A$4:$AJ$39,16,)</f>
        <v>0</v>
      </c>
      <c r="F273" s="48">
        <f>VLOOKUP($B254,[3]Complaints!$A$4:$AJ$39,16,)</f>
        <v>0</v>
      </c>
      <c r="G273" s="48">
        <f>VLOOKUP($B254,[4]Complaints!$A$4:$AJ$39,16,)</f>
        <v>0</v>
      </c>
      <c r="H273" s="48">
        <f>VLOOKUP($B254,[5]Complaints!$A$4:$AJ$39,16,)</f>
        <v>0</v>
      </c>
      <c r="I273" s="48">
        <f>VLOOKUP($B254,[6]Complaints!$A$4:$AJ$39,16,)</f>
        <v>0</v>
      </c>
      <c r="J273" s="48">
        <f>VLOOKUP($B254,[7]Complaints!$A$4:$AJ$39,16,)</f>
        <v>0</v>
      </c>
      <c r="K273" s="48">
        <f>VLOOKUP($B254,[8]Complaints!$A$4:$AJ$39,16,)</f>
        <v>0</v>
      </c>
      <c r="L273" s="48">
        <f>VLOOKUP($B254,[9]Complaints!$A$4:$AJ$39,16,)</f>
        <v>0</v>
      </c>
      <c r="M273" s="48">
        <f>VLOOKUP($B254,[10]Complaints!$A$4:$AJ$39,16,)</f>
        <v>0</v>
      </c>
      <c r="N273" s="48">
        <f>VLOOKUP($B254,[11]Complaints!$A$4:$AJ$39,16,)</f>
        <v>0</v>
      </c>
      <c r="O273" s="49">
        <f>VLOOKUP($B254,[12]Complaints!$A$4:$AJ$39,16,)</f>
        <v>0</v>
      </c>
      <c r="P273" s="55">
        <f t="shared" si="72"/>
        <v>0</v>
      </c>
      <c r="Q273" s="50" t="str">
        <f>IF(P273=0,"",P273/$P256)</f>
        <v/>
      </c>
      <c r="R273" s="18"/>
    </row>
    <row r="274" spans="1:19" ht="15.75" customHeight="1" x14ac:dyDescent="0.2">
      <c r="B274" s="169"/>
      <c r="C274" s="31" t="s">
        <v>80</v>
      </c>
      <c r="D274" s="47">
        <f>VLOOKUP($B254,[1]Complaints!$A$4:$AJ$39,17,)</f>
        <v>0</v>
      </c>
      <c r="E274" s="48">
        <f>VLOOKUP($B254,[2]Complaints!$A$4:$AJ$39,17,)</f>
        <v>0</v>
      </c>
      <c r="F274" s="48">
        <f>VLOOKUP($B254,[3]Complaints!$A$4:$AJ$39,17,)</f>
        <v>0</v>
      </c>
      <c r="G274" s="48">
        <f>VLOOKUP($B254,[4]Complaints!$A$4:$AJ$39,17,)</f>
        <v>0</v>
      </c>
      <c r="H274" s="48">
        <f>VLOOKUP($B254,[5]Complaints!$A$4:$AJ$39,17,)</f>
        <v>0</v>
      </c>
      <c r="I274" s="48">
        <f>VLOOKUP($B254,[6]Complaints!$A$4:$AJ$39,17,)</f>
        <v>0</v>
      </c>
      <c r="J274" s="48">
        <f>VLOOKUP($B254,[7]Complaints!$A$4:$AJ$39,17,)</f>
        <v>0</v>
      </c>
      <c r="K274" s="48">
        <f>VLOOKUP($B254,[8]Complaints!$A$4:$AJ$39,17,)</f>
        <v>0</v>
      </c>
      <c r="L274" s="48">
        <f>VLOOKUP($B254,[9]Complaints!$A$4:$AJ$39,17,)</f>
        <v>0</v>
      </c>
      <c r="M274" s="48">
        <f>VLOOKUP($B254,[10]Complaints!$A$4:$AJ$39,17,)</f>
        <v>0</v>
      </c>
      <c r="N274" s="48">
        <f>VLOOKUP($B254,[11]Complaints!$A$4:$AJ$39,17,)</f>
        <v>0</v>
      </c>
      <c r="O274" s="49">
        <f>VLOOKUP($B254,[12]Complaints!$A$4:$AJ$39,17,)</f>
        <v>0</v>
      </c>
      <c r="P274" s="55">
        <f t="shared" si="72"/>
        <v>0</v>
      </c>
      <c r="Q274" s="50" t="str">
        <f>IF(P274=0,"",P274/$P256)</f>
        <v/>
      </c>
      <c r="R274" s="18"/>
    </row>
    <row r="275" spans="1:19" ht="15.75" customHeight="1" x14ac:dyDescent="0.2">
      <c r="B275" s="169"/>
      <c r="C275" s="31" t="s">
        <v>81</v>
      </c>
      <c r="D275" s="47">
        <f>VLOOKUP($B254,[1]Complaints!$A$4:$AJ$39,18,)</f>
        <v>0</v>
      </c>
      <c r="E275" s="48">
        <f>VLOOKUP($B254,[2]Complaints!$A$4:$AJ$39,18,)</f>
        <v>0</v>
      </c>
      <c r="F275" s="48">
        <f>VLOOKUP($B254,[3]Complaints!$A$4:$AJ$39,18,)</f>
        <v>0</v>
      </c>
      <c r="G275" s="48">
        <f>VLOOKUP($B254,[4]Complaints!$A$4:$AJ$39,18,)</f>
        <v>0</v>
      </c>
      <c r="H275" s="48">
        <f>VLOOKUP($B254,[5]Complaints!$A$4:$AJ$39,18,)</f>
        <v>0</v>
      </c>
      <c r="I275" s="48">
        <f>VLOOKUP($B254,[6]Complaints!$A$4:$AJ$39,18,)</f>
        <v>0</v>
      </c>
      <c r="J275" s="48">
        <f>VLOOKUP($B254,[7]Complaints!$A$4:$AJ$39,18,)</f>
        <v>0</v>
      </c>
      <c r="K275" s="48">
        <f>VLOOKUP($B254,[8]Complaints!$A$4:$AJ$39,18,)</f>
        <v>0</v>
      </c>
      <c r="L275" s="48">
        <f>VLOOKUP($B254,[9]Complaints!$A$4:$AJ$39,18,)</f>
        <v>0</v>
      </c>
      <c r="M275" s="48">
        <f>VLOOKUP($B254,[10]Complaints!$A$4:$AJ$39,18,)</f>
        <v>0</v>
      </c>
      <c r="N275" s="48">
        <f>VLOOKUP($B254,[11]Complaints!$A$4:$AJ$39,18,)</f>
        <v>0</v>
      </c>
      <c r="O275" s="49">
        <f>VLOOKUP($B254,[12]Complaints!$A$4:$AJ$39,18,)</f>
        <v>0</v>
      </c>
      <c r="P275" s="55">
        <f t="shared" si="72"/>
        <v>0</v>
      </c>
      <c r="Q275" s="50" t="str">
        <f>IF(P275=0,"",P275/$P256)</f>
        <v/>
      </c>
      <c r="R275" s="18"/>
    </row>
    <row r="276" spans="1:19" ht="15.75" customHeight="1" x14ac:dyDescent="0.2">
      <c r="B276" s="169"/>
      <c r="C276" s="31" t="s">
        <v>82</v>
      </c>
      <c r="D276" s="47">
        <f>VLOOKUP($B254,[1]Complaints!$A$4:$AJ$39,19,)</f>
        <v>0</v>
      </c>
      <c r="E276" s="48">
        <f>VLOOKUP($B254,[2]Complaints!$A$4:$AJ$39,19,)</f>
        <v>0</v>
      </c>
      <c r="F276" s="48">
        <f>VLOOKUP($B254,[3]Complaints!$A$4:$AJ$39,19,)</f>
        <v>0</v>
      </c>
      <c r="G276" s="48">
        <f>VLOOKUP($B254,[4]Complaints!$A$4:$AJ$39,19,)</f>
        <v>0</v>
      </c>
      <c r="H276" s="48">
        <f>VLOOKUP($B254,[5]Complaints!$A$4:$AJ$39,19,)</f>
        <v>0</v>
      </c>
      <c r="I276" s="48">
        <f>VLOOKUP($B254,[6]Complaints!$A$4:$AJ$39,19,)</f>
        <v>0</v>
      </c>
      <c r="J276" s="48">
        <f>VLOOKUP($B254,[7]Complaints!$A$4:$AJ$39,19,)</f>
        <v>0</v>
      </c>
      <c r="K276" s="48">
        <f>VLOOKUP($B254,[8]Complaints!$A$4:$AJ$39,19,)</f>
        <v>0</v>
      </c>
      <c r="L276" s="48">
        <f>VLOOKUP($B254,[9]Complaints!$A$4:$AJ$39,19,)</f>
        <v>0</v>
      </c>
      <c r="M276" s="48">
        <f>VLOOKUP($B254,[10]Complaints!$A$4:$AJ$39,19,)</f>
        <v>0</v>
      </c>
      <c r="N276" s="48">
        <f>VLOOKUP($B254,[11]Complaints!$A$4:$AJ$39,19,)</f>
        <v>0</v>
      </c>
      <c r="O276" s="49">
        <f>VLOOKUP($B254,[12]Complaints!$A$4:$AJ$39,19,)</f>
        <v>0</v>
      </c>
      <c r="P276" s="55">
        <f t="shared" si="72"/>
        <v>0</v>
      </c>
      <c r="Q276" s="50" t="str">
        <f>IF(P276=0,"",P276/$P256)</f>
        <v/>
      </c>
      <c r="R276" s="18"/>
    </row>
    <row r="277" spans="1:19" ht="15.75" customHeight="1" thickBot="1" x14ac:dyDescent="0.25">
      <c r="B277" s="170"/>
      <c r="C277" s="31" t="s">
        <v>83</v>
      </c>
      <c r="D277" s="47">
        <f>VLOOKUP($B254,[1]Complaints!$A$4:$AJ$39,20,)</f>
        <v>0</v>
      </c>
      <c r="E277" s="48">
        <f>VLOOKUP($B254,[2]Complaints!$A$4:$AJ$39,20,)</f>
        <v>0</v>
      </c>
      <c r="F277" s="48">
        <f>VLOOKUP($B254,[3]Complaints!$A$4:$AJ$39,20,)</f>
        <v>0</v>
      </c>
      <c r="G277" s="48">
        <f>VLOOKUP($B254,[4]Complaints!$A$4:$AJ$39,20,)</f>
        <v>0</v>
      </c>
      <c r="H277" s="48">
        <f>VLOOKUP($B254,[5]Complaints!$A$4:$AJ$39,20,)</f>
        <v>0</v>
      </c>
      <c r="I277" s="48">
        <f>VLOOKUP($B254,[6]Complaints!$A$4:$AJ$39,20,)</f>
        <v>0</v>
      </c>
      <c r="J277" s="48">
        <f>VLOOKUP($B254,[7]Complaints!$A$4:$AJ$39,20,)</f>
        <v>0</v>
      </c>
      <c r="K277" s="48">
        <f>VLOOKUP($B254,[8]Complaints!$A$4:$AJ$39,20,)</f>
        <v>0</v>
      </c>
      <c r="L277" s="48">
        <f>VLOOKUP($B254,[9]Complaints!$A$4:$AJ$39,20,)</f>
        <v>0</v>
      </c>
      <c r="M277" s="48">
        <f>VLOOKUP($B254,[10]Complaints!$A$4:$AJ$39,20,)</f>
        <v>0</v>
      </c>
      <c r="N277" s="48">
        <f>VLOOKUP($B254,[11]Complaints!$A$4:$AJ$39,20,)</f>
        <v>0</v>
      </c>
      <c r="O277" s="49">
        <f>VLOOKUP($B254,[12]Complaints!$A$4:$AJ$39,20,)</f>
        <v>0</v>
      </c>
      <c r="P277" s="55">
        <f t="shared" si="72"/>
        <v>0</v>
      </c>
      <c r="Q277" s="50" t="str">
        <f>IF(P277=0,"",P277/$P256)</f>
        <v/>
      </c>
      <c r="R277" s="18"/>
    </row>
    <row r="278" spans="1:19" ht="15.75" customHeight="1" x14ac:dyDescent="0.2">
      <c r="B278" s="144" t="s">
        <v>90</v>
      </c>
      <c r="C278" s="37" t="s">
        <v>118</v>
      </c>
      <c r="D278" s="62">
        <f>VLOOKUP($B254,[1]Complaints!$A$4:$AJ$39,21,)</f>
        <v>0</v>
      </c>
      <c r="E278" s="63">
        <f>VLOOKUP($B254,[2]Complaints!$A$4:$AJ$39,21,)</f>
        <v>0</v>
      </c>
      <c r="F278" s="63">
        <f>VLOOKUP($B254,[3]Complaints!$A$4:$AJ$39,21,)</f>
        <v>0</v>
      </c>
      <c r="G278" s="63">
        <f>VLOOKUP($B254,[4]Complaints!$A$4:$AJ$39,21,)</f>
        <v>0</v>
      </c>
      <c r="H278" s="63">
        <f>VLOOKUP($B254,[5]Complaints!$A$4:$AJ$39,21,)</f>
        <v>0</v>
      </c>
      <c r="I278" s="63">
        <f>VLOOKUP($B254,[6]Complaints!$A$4:$AJ$39,21,)</f>
        <v>0</v>
      </c>
      <c r="J278" s="63">
        <f>VLOOKUP($B254,[7]Complaints!$A$4:$AJ$39,21,)</f>
        <v>0</v>
      </c>
      <c r="K278" s="63">
        <f>VLOOKUP($B254,[8]Complaints!$A$4:$AJ$39,21,)</f>
        <v>0</v>
      </c>
      <c r="L278" s="63">
        <f>VLOOKUP($B254,[9]Complaints!$A$4:$AJ$39,21,)</f>
        <v>0</v>
      </c>
      <c r="M278" s="63">
        <f>VLOOKUP($B254,[10]Complaints!$A$4:$AJ$39,21,)</f>
        <v>0</v>
      </c>
      <c r="N278" s="63">
        <f>VLOOKUP($B254,[11]Complaints!$A$4:$AJ$39,21,)</f>
        <v>0</v>
      </c>
      <c r="O278" s="64">
        <f>VLOOKUP($B254,[12]Complaints!$A$4:$AJ$39,21,)</f>
        <v>0</v>
      </c>
      <c r="P278" s="65">
        <f>SUM(D278:O278)</f>
        <v>0</v>
      </c>
      <c r="Q278" s="46" t="str">
        <f>IF(P278=0,"",P278/$P262)</f>
        <v/>
      </c>
      <c r="R278" s="18"/>
    </row>
    <row r="279" spans="1:19" ht="15.75" customHeight="1" x14ac:dyDescent="0.2">
      <c r="B279" s="145"/>
      <c r="C279" s="38" t="s">
        <v>77</v>
      </c>
      <c r="D279" s="66">
        <f>VLOOKUP($B254,[1]Complaints!$A$4:$AJ$39,22,)</f>
        <v>0</v>
      </c>
      <c r="E279" s="67">
        <f>VLOOKUP($B254,[2]Complaints!$A$4:$AJ$39,22,)</f>
        <v>0</v>
      </c>
      <c r="F279" s="67">
        <f>VLOOKUP($B254,[3]Complaints!$A$4:$AJ$39,22,)</f>
        <v>0</v>
      </c>
      <c r="G279" s="67">
        <f>VLOOKUP($B254,[4]Complaints!$A$4:$AJ$39,22,)</f>
        <v>0</v>
      </c>
      <c r="H279" s="67">
        <f>VLOOKUP($B254,[5]Complaints!$A$4:$AJ$39,22,)</f>
        <v>0</v>
      </c>
      <c r="I279" s="67">
        <f>VLOOKUP($B254,[6]Complaints!$A$4:$AJ$39,22,)</f>
        <v>0</v>
      </c>
      <c r="J279" s="67">
        <f>VLOOKUP($B254,[7]Complaints!$A$4:$AJ$39,22,)</f>
        <v>0</v>
      </c>
      <c r="K279" s="67">
        <f>VLOOKUP($B254,[8]Complaints!$A$4:$AJ$39,22,)</f>
        <v>0</v>
      </c>
      <c r="L279" s="67">
        <f>VLOOKUP($B254,[9]Complaints!$A$4:$AJ$39,22,)</f>
        <v>0</v>
      </c>
      <c r="M279" s="67">
        <f>VLOOKUP($B254,[10]Complaints!$A$4:$AJ$39,22,)</f>
        <v>0</v>
      </c>
      <c r="N279" s="67">
        <f>VLOOKUP($B254,[11]Complaints!$A$4:$AJ$39,22,)</f>
        <v>0</v>
      </c>
      <c r="O279" s="68">
        <f>VLOOKUP($B254,[12]Complaints!$A$4:$AJ$39,22,)</f>
        <v>0</v>
      </c>
      <c r="P279" s="69">
        <f t="shared" ref="P279:P293" si="73">SUM(D279:O279)</f>
        <v>0</v>
      </c>
      <c r="Q279" s="70" t="str">
        <f>IF(P279=0,"",P279/$P262)</f>
        <v/>
      </c>
      <c r="R279" s="18"/>
    </row>
    <row r="280" spans="1:19" ht="15.75" customHeight="1" x14ac:dyDescent="0.2">
      <c r="B280" s="145"/>
      <c r="C280" s="38" t="s">
        <v>108</v>
      </c>
      <c r="D280" s="66">
        <f>VLOOKUP($B254,[1]Complaints!$A$4:$AJ$39,23,)</f>
        <v>0</v>
      </c>
      <c r="E280" s="67">
        <f>VLOOKUP($B254,[2]Complaints!$A$4:$AJ$39,23,)</f>
        <v>0</v>
      </c>
      <c r="F280" s="67">
        <f>VLOOKUP($B254,[3]Complaints!$A$4:$AJ$39,23,)</f>
        <v>0</v>
      </c>
      <c r="G280" s="67">
        <f>VLOOKUP($B254,[4]Complaints!$A$4:$AJ$39,23,)</f>
        <v>0</v>
      </c>
      <c r="H280" s="67">
        <f>VLOOKUP($B254,[5]Complaints!$A$4:$AJ$39,23,)</f>
        <v>0</v>
      </c>
      <c r="I280" s="67">
        <f>VLOOKUP($B254,[6]Complaints!$A$4:$AJ$39,23,)</f>
        <v>0</v>
      </c>
      <c r="J280" s="67">
        <f>VLOOKUP($B254,[7]Complaints!$A$4:$AJ$39,23,)</f>
        <v>0</v>
      </c>
      <c r="K280" s="67">
        <f>VLOOKUP($B254,[8]Complaints!$A$4:$AJ$39,23,)</f>
        <v>0</v>
      </c>
      <c r="L280" s="67">
        <f>VLOOKUP($B254,[9]Complaints!$A$4:$AJ$39,23,)</f>
        <v>0</v>
      </c>
      <c r="M280" s="67">
        <f>VLOOKUP($B254,[10]Complaints!$A$4:$AJ$39,23,)</f>
        <v>0</v>
      </c>
      <c r="N280" s="67">
        <f>VLOOKUP($B254,[11]Complaints!$A$4:$AJ$39,23,)</f>
        <v>0</v>
      </c>
      <c r="O280" s="68">
        <f>VLOOKUP($B254,[12]Complaints!$A$4:$AJ$39,23,)</f>
        <v>0</v>
      </c>
      <c r="P280" s="69">
        <f t="shared" si="73"/>
        <v>0</v>
      </c>
      <c r="Q280" s="70" t="str">
        <f>IF(P280=0,"",P280/$P262)</f>
        <v/>
      </c>
      <c r="R280" s="18"/>
    </row>
    <row r="281" spans="1:19" ht="15.75" customHeight="1" x14ac:dyDescent="0.2">
      <c r="B281" s="145"/>
      <c r="C281" s="38" t="s">
        <v>88</v>
      </c>
      <c r="D281" s="66">
        <f>VLOOKUP($B254,[1]Complaints!$A$4:$AJ$39,24,)</f>
        <v>0</v>
      </c>
      <c r="E281" s="67">
        <f>VLOOKUP($B254,[2]Complaints!$A$4:$AJ$39,24,)</f>
        <v>0</v>
      </c>
      <c r="F281" s="67">
        <f>VLOOKUP($B254,[3]Complaints!$A$4:$AJ$39,24,)</f>
        <v>0</v>
      </c>
      <c r="G281" s="67">
        <f>VLOOKUP($B254,[4]Complaints!$A$4:$AJ$39,24,)</f>
        <v>0</v>
      </c>
      <c r="H281" s="67">
        <f>VLOOKUP($B254,[5]Complaints!$A$4:$AJ$39,24,)</f>
        <v>0</v>
      </c>
      <c r="I281" s="67">
        <f>VLOOKUP($B254,[6]Complaints!$A$4:$AJ$39,24,)</f>
        <v>0</v>
      </c>
      <c r="J281" s="67">
        <f>VLOOKUP($B254,[7]Complaints!$A$4:$AJ$39,24,)</f>
        <v>0</v>
      </c>
      <c r="K281" s="67">
        <f>VLOOKUP($B254,[8]Complaints!$A$4:$AJ$39,24,)</f>
        <v>0</v>
      </c>
      <c r="L281" s="67">
        <f>VLOOKUP($B254,[9]Complaints!$A$4:$AJ$39,24,)</f>
        <v>0</v>
      </c>
      <c r="M281" s="67">
        <f>VLOOKUP($B254,[10]Complaints!$A$4:$AJ$39,24,)</f>
        <v>0</v>
      </c>
      <c r="N281" s="67">
        <f>VLOOKUP($B254,[11]Complaints!$A$4:$AJ$39,24,)</f>
        <v>0</v>
      </c>
      <c r="O281" s="68">
        <f>VLOOKUP($B254,[12]Complaints!$A$4:$AJ$39,24,)</f>
        <v>0</v>
      </c>
      <c r="P281" s="69">
        <f t="shared" si="73"/>
        <v>0</v>
      </c>
      <c r="Q281" s="70" t="str">
        <f>IF(P281=0,"",P281/$P262)</f>
        <v/>
      </c>
      <c r="R281" s="18"/>
    </row>
    <row r="282" spans="1:19" ht="15.75" customHeight="1" x14ac:dyDescent="0.2">
      <c r="B282" s="145"/>
      <c r="C282" s="38" t="s">
        <v>109</v>
      </c>
      <c r="D282" s="66">
        <f>VLOOKUP($B254,[1]Complaints!$A$4:$AJ$39,25,)</f>
        <v>0</v>
      </c>
      <c r="E282" s="67">
        <f>VLOOKUP($B254,[2]Complaints!$A$4:$AJ$39,25,)</f>
        <v>0</v>
      </c>
      <c r="F282" s="67">
        <f>VLOOKUP($B254,[3]Complaints!$A$4:$AJ$39,25,)</f>
        <v>0</v>
      </c>
      <c r="G282" s="67">
        <f>VLOOKUP($B254,[4]Complaints!$A$4:$AJ$39,25,)</f>
        <v>0</v>
      </c>
      <c r="H282" s="67">
        <f>VLOOKUP($B254,[5]Complaints!$A$4:$AJ$39,25,)</f>
        <v>0</v>
      </c>
      <c r="I282" s="67">
        <f>VLOOKUP($B254,[6]Complaints!$A$4:$AJ$39,25,)</f>
        <v>0</v>
      </c>
      <c r="J282" s="67">
        <f>VLOOKUP($B254,[7]Complaints!$A$4:$AJ$39,25,)</f>
        <v>0</v>
      </c>
      <c r="K282" s="67">
        <f>VLOOKUP($B254,[8]Complaints!$A$4:$AJ$39,25,)</f>
        <v>0</v>
      </c>
      <c r="L282" s="67">
        <f>VLOOKUP($B254,[9]Complaints!$A$4:$AJ$39,25,)</f>
        <v>0</v>
      </c>
      <c r="M282" s="67">
        <f>VLOOKUP($B254,[10]Complaints!$A$4:$AJ$39,25,)</f>
        <v>0</v>
      </c>
      <c r="N282" s="67">
        <f>VLOOKUP($B254,[11]Complaints!$A$4:$AJ$39,25,)</f>
        <v>0</v>
      </c>
      <c r="O282" s="68">
        <f>VLOOKUP($B254,[12]Complaints!$A$4:$AJ$39,25,)</f>
        <v>0</v>
      </c>
      <c r="P282" s="69">
        <f t="shared" si="73"/>
        <v>0</v>
      </c>
      <c r="Q282" s="70" t="str">
        <f>IF(P282=0,"",P282/$P262)</f>
        <v/>
      </c>
      <c r="R282" s="18"/>
    </row>
    <row r="283" spans="1:19" ht="15.75" customHeight="1" x14ac:dyDescent="0.2">
      <c r="A283" s="21"/>
      <c r="B283" s="145"/>
      <c r="C283" s="38" t="s">
        <v>110</v>
      </c>
      <c r="D283" s="66">
        <f>VLOOKUP($B254,[1]Complaints!$A$4:$AJ$39,26,)</f>
        <v>0</v>
      </c>
      <c r="E283" s="67">
        <f>VLOOKUP($B254,[2]Complaints!$A$4:$AJ$39,26,)</f>
        <v>0</v>
      </c>
      <c r="F283" s="67">
        <f>VLOOKUP($B254,[3]Complaints!$A$4:$AJ$39,26,)</f>
        <v>0</v>
      </c>
      <c r="G283" s="67">
        <f>VLOOKUP($B254,[4]Complaints!$A$4:$AJ$39,26,)</f>
        <v>0</v>
      </c>
      <c r="H283" s="67">
        <f>VLOOKUP($B254,[5]Complaints!$A$4:$AJ$39,26,)</f>
        <v>0</v>
      </c>
      <c r="I283" s="67">
        <f>VLOOKUP($B254,[6]Complaints!$A$4:$AJ$39,26,)</f>
        <v>0</v>
      </c>
      <c r="J283" s="67">
        <f>VLOOKUP($B254,[7]Complaints!$A$4:$AJ$39,26,)</f>
        <v>0</v>
      </c>
      <c r="K283" s="67">
        <f>VLOOKUP($B254,[8]Complaints!$A$4:$AJ$39,26,)</f>
        <v>0</v>
      </c>
      <c r="L283" s="67">
        <f>VLOOKUP($B254,[9]Complaints!$A$4:$AJ$39,26,)</f>
        <v>0</v>
      </c>
      <c r="M283" s="67">
        <f>VLOOKUP($B254,[10]Complaints!$A$4:$AJ$39,26,)</f>
        <v>0</v>
      </c>
      <c r="N283" s="67">
        <f>VLOOKUP($B254,[11]Complaints!$A$4:$AJ$39,26,)</f>
        <v>0</v>
      </c>
      <c r="O283" s="68">
        <f>VLOOKUP($B254,[12]Complaints!$A$4:$AJ$39,26,)</f>
        <v>0</v>
      </c>
      <c r="P283" s="69">
        <f t="shared" si="73"/>
        <v>0</v>
      </c>
      <c r="Q283" s="70" t="str">
        <f>IF(P283=0,"",P283/$P262)</f>
        <v/>
      </c>
      <c r="R283" s="18"/>
    </row>
    <row r="284" spans="1:19" s="21" customFormat="1" ht="15.75" customHeight="1" x14ac:dyDescent="0.2">
      <c r="B284" s="145"/>
      <c r="C284" s="39" t="s">
        <v>107</v>
      </c>
      <c r="D284" s="71">
        <f>VLOOKUP($B254,[1]Complaints!$A$4:$AJ$39,27,)</f>
        <v>0</v>
      </c>
      <c r="E284" s="72">
        <f>VLOOKUP($B254,[2]Complaints!$A$4:$AJ$39,27,)</f>
        <v>0</v>
      </c>
      <c r="F284" s="72">
        <f>VLOOKUP($B254,[3]Complaints!$A$4:$AJ$39,27,)</f>
        <v>0</v>
      </c>
      <c r="G284" s="72">
        <f>VLOOKUP($B254,[4]Complaints!$A$4:$AJ$39,27,)</f>
        <v>0</v>
      </c>
      <c r="H284" s="72">
        <f>VLOOKUP($B254,[5]Complaints!$A$4:$AJ$39,27,)</f>
        <v>0</v>
      </c>
      <c r="I284" s="72">
        <f>VLOOKUP($B254,[6]Complaints!$A$4:$AJ$39,27,)</f>
        <v>0</v>
      </c>
      <c r="J284" s="72">
        <f>VLOOKUP($B254,[7]Complaints!$A$4:$AJ$39,27,)</f>
        <v>0</v>
      </c>
      <c r="K284" s="72">
        <f>VLOOKUP($B254,[8]Complaints!$A$4:$AJ$39,27,)</f>
        <v>0</v>
      </c>
      <c r="L284" s="72">
        <f>VLOOKUP($B254,[9]Complaints!$A$4:$AJ$39,27,)</f>
        <v>0</v>
      </c>
      <c r="M284" s="72">
        <f>VLOOKUP($B254,[10]Complaints!$A$4:$AJ$39,27,)</f>
        <v>0</v>
      </c>
      <c r="N284" s="72">
        <f>VLOOKUP($B254,[11]Complaints!$A$4:$AJ$39,27,)</f>
        <v>0</v>
      </c>
      <c r="O284" s="73">
        <f>VLOOKUP($B254,[12]Complaints!$A$4:$AJ$39,27,)</f>
        <v>0</v>
      </c>
      <c r="P284" s="69">
        <f t="shared" si="73"/>
        <v>0</v>
      </c>
      <c r="Q284" s="70" t="str">
        <f>IF(P284=0,"",P284/$P262)</f>
        <v/>
      </c>
      <c r="S284" s="18"/>
    </row>
    <row r="285" spans="1:19" ht="15.75" customHeight="1" x14ac:dyDescent="0.2">
      <c r="B285" s="145"/>
      <c r="C285" s="39" t="s">
        <v>87</v>
      </c>
      <c r="D285" s="71">
        <f>VLOOKUP($B254,[1]Complaints!$A$4:$AJ$39,28,)</f>
        <v>0</v>
      </c>
      <c r="E285" s="72">
        <f>VLOOKUP($B254,[2]Complaints!$A$4:$AJ$39,28,)</f>
        <v>0</v>
      </c>
      <c r="F285" s="72">
        <f>VLOOKUP($B254,[3]Complaints!$A$4:$AJ$39,28,)</f>
        <v>0</v>
      </c>
      <c r="G285" s="72">
        <f>VLOOKUP($B254,[4]Complaints!$A$4:$AJ$39,28,)</f>
        <v>0</v>
      </c>
      <c r="H285" s="72">
        <f>VLOOKUP($B254,[5]Complaints!$A$4:$AJ$39,28,)</f>
        <v>0</v>
      </c>
      <c r="I285" s="72">
        <f>VLOOKUP($B254,[6]Complaints!$A$4:$AJ$39,28,)</f>
        <v>0</v>
      </c>
      <c r="J285" s="72">
        <f>VLOOKUP($B254,[7]Complaints!$A$4:$AJ$39,28,)</f>
        <v>0</v>
      </c>
      <c r="K285" s="72">
        <f>VLOOKUP($B254,[8]Complaints!$A$4:$AJ$39,28,)</f>
        <v>0</v>
      </c>
      <c r="L285" s="72">
        <f>VLOOKUP($B254,[9]Complaints!$A$4:$AJ$39,28,)</f>
        <v>0</v>
      </c>
      <c r="M285" s="72">
        <f>VLOOKUP($B254,[10]Complaints!$A$4:$AJ$39,28,)</f>
        <v>0</v>
      </c>
      <c r="N285" s="72">
        <f>VLOOKUP($B254,[11]Complaints!$A$4:$AJ$39,28,)</f>
        <v>0</v>
      </c>
      <c r="O285" s="73">
        <f>VLOOKUP($B254,[12]Complaints!$A$4:$AJ$39,28,)</f>
        <v>0</v>
      </c>
      <c r="P285" s="69">
        <f t="shared" si="73"/>
        <v>0</v>
      </c>
      <c r="Q285" s="70" t="str">
        <f>IF(P285=0,"",P285/$P262)</f>
        <v/>
      </c>
      <c r="R285" s="18"/>
    </row>
    <row r="286" spans="1:19" ht="15.75" customHeight="1" x14ac:dyDescent="0.2">
      <c r="B286" s="145"/>
      <c r="C286" s="38" t="s">
        <v>111</v>
      </c>
      <c r="D286" s="66">
        <f>VLOOKUP($B254,[1]Complaints!$A$4:$AJ$39,29,)</f>
        <v>0</v>
      </c>
      <c r="E286" s="67">
        <f>VLOOKUP($B254,[2]Complaints!$A$4:$AJ$39,29,)</f>
        <v>0</v>
      </c>
      <c r="F286" s="67">
        <f>VLOOKUP($B254,[3]Complaints!$A$4:$AJ$39,29,)</f>
        <v>0</v>
      </c>
      <c r="G286" s="67">
        <f>VLOOKUP($B254,[4]Complaints!$A$4:$AJ$39,29,)</f>
        <v>0</v>
      </c>
      <c r="H286" s="67">
        <f>VLOOKUP($B254,[5]Complaints!$A$4:$AJ$39,29,)</f>
        <v>0</v>
      </c>
      <c r="I286" s="67">
        <f>VLOOKUP($B254,[6]Complaints!$A$4:$AJ$39,29,)</f>
        <v>0</v>
      </c>
      <c r="J286" s="67">
        <f>VLOOKUP($B254,[7]Complaints!$A$4:$AJ$39,29,)</f>
        <v>0</v>
      </c>
      <c r="K286" s="67">
        <f>VLOOKUP($B254,[8]Complaints!$A$4:$AJ$39,29,)</f>
        <v>0</v>
      </c>
      <c r="L286" s="67">
        <f>VLOOKUP($B254,[9]Complaints!$A$4:$AJ$39,29,)</f>
        <v>0</v>
      </c>
      <c r="M286" s="67">
        <f>VLOOKUP($B254,[10]Complaints!$A$4:$AJ$39,29,)</f>
        <v>0</v>
      </c>
      <c r="N286" s="67">
        <f>VLOOKUP($B254,[11]Complaints!$A$4:$AJ$39,29,)</f>
        <v>0</v>
      </c>
      <c r="O286" s="68">
        <f>VLOOKUP($B254,[12]Complaints!$A$4:$AJ$39,29,)</f>
        <v>0</v>
      </c>
      <c r="P286" s="69">
        <f t="shared" si="73"/>
        <v>0</v>
      </c>
      <c r="Q286" s="70" t="str">
        <f>IF(P286=0,"",P286/$P262)</f>
        <v/>
      </c>
      <c r="R286" s="18"/>
    </row>
    <row r="287" spans="1:19" ht="15.75" customHeight="1" x14ac:dyDescent="0.2">
      <c r="B287" s="145"/>
      <c r="C287" s="38" t="s">
        <v>112</v>
      </c>
      <c r="D287" s="66">
        <f>VLOOKUP($B254,[1]Complaints!$A$4:$AJ$39,30,)</f>
        <v>0</v>
      </c>
      <c r="E287" s="67">
        <f>VLOOKUP($B254,[2]Complaints!$A$4:$AJ$39,30,)</f>
        <v>0</v>
      </c>
      <c r="F287" s="67">
        <f>VLOOKUP($B254,[3]Complaints!$A$4:$AJ$39,30,)</f>
        <v>0</v>
      </c>
      <c r="G287" s="67">
        <f>VLOOKUP($B254,[4]Complaints!$A$4:$AJ$39,30,)</f>
        <v>0</v>
      </c>
      <c r="H287" s="67">
        <f>VLOOKUP($B254,[5]Complaints!$A$4:$AJ$39,30,)</f>
        <v>0</v>
      </c>
      <c r="I287" s="67">
        <f>VLOOKUP($B254,[6]Complaints!$A$4:$AJ$39,30,)</f>
        <v>0</v>
      </c>
      <c r="J287" s="67">
        <f>VLOOKUP($B254,[7]Complaints!$A$4:$AJ$39,30,)</f>
        <v>0</v>
      </c>
      <c r="K287" s="67">
        <f>VLOOKUP($B254,[8]Complaints!$A$4:$AJ$39,30,)</f>
        <v>0</v>
      </c>
      <c r="L287" s="67">
        <f>VLOOKUP($B254,[9]Complaints!$A$4:$AJ$39,30,)</f>
        <v>0</v>
      </c>
      <c r="M287" s="67">
        <f>VLOOKUP($B254,[10]Complaints!$A$4:$AJ$39,30,)</f>
        <v>0</v>
      </c>
      <c r="N287" s="67">
        <f>VLOOKUP($B254,[11]Complaints!$A$4:$AJ$39,30,)</f>
        <v>0</v>
      </c>
      <c r="O287" s="68">
        <f>VLOOKUP($B254,[12]Complaints!$A$4:$AJ$39,30,)</f>
        <v>0</v>
      </c>
      <c r="P287" s="69">
        <f t="shared" si="73"/>
        <v>0</v>
      </c>
      <c r="Q287" s="70" t="str">
        <f>IF(P287=0,"",P287/$P262)</f>
        <v/>
      </c>
      <c r="R287" s="18"/>
    </row>
    <row r="288" spans="1:19" ht="15.75" customHeight="1" x14ac:dyDescent="0.2">
      <c r="B288" s="146"/>
      <c r="C288" s="40" t="s">
        <v>119</v>
      </c>
      <c r="D288" s="74">
        <f>VLOOKUP($B254,[1]Complaints!$A$4:$AJ$39,31,)</f>
        <v>0</v>
      </c>
      <c r="E288" s="75">
        <f>VLOOKUP($B254,[2]Complaints!$A$4:$AJ$39,31,)</f>
        <v>0</v>
      </c>
      <c r="F288" s="75">
        <f>VLOOKUP($B254,[3]Complaints!$A$4:$AJ$39,31,)</f>
        <v>0</v>
      </c>
      <c r="G288" s="75">
        <f>VLOOKUP($B254,[4]Complaints!$A$4:$AJ$39,31,)</f>
        <v>0</v>
      </c>
      <c r="H288" s="75">
        <f>VLOOKUP($B254,[5]Complaints!$A$4:$AJ$39,31,)</f>
        <v>0</v>
      </c>
      <c r="I288" s="75">
        <f>VLOOKUP($B254,[6]Complaints!$A$4:$AJ$39,31,)</f>
        <v>0</v>
      </c>
      <c r="J288" s="75">
        <f>VLOOKUP($B254,[7]Complaints!$A$4:$AJ$39,31,)</f>
        <v>0</v>
      </c>
      <c r="K288" s="75">
        <f>VLOOKUP($B254,[8]Complaints!$A$4:$AJ$39,31,)</f>
        <v>0</v>
      </c>
      <c r="L288" s="75">
        <f>VLOOKUP($B254,[9]Complaints!$A$4:$AJ$39,31,)</f>
        <v>0</v>
      </c>
      <c r="M288" s="75">
        <f>VLOOKUP($B254,[10]Complaints!$A$4:$AJ$39,31,)</f>
        <v>0</v>
      </c>
      <c r="N288" s="75">
        <f>VLOOKUP($B254,[11]Complaints!$A$4:$AJ$39,31,)</f>
        <v>0</v>
      </c>
      <c r="O288" s="76">
        <f>VLOOKUP($B254,[12]Complaints!$A$4:$AJ$39,31,)</f>
        <v>0</v>
      </c>
      <c r="P288" s="77">
        <f t="shared" si="73"/>
        <v>0</v>
      </c>
      <c r="Q288" s="50" t="str">
        <f>IF(P288=0,"",P288/$P262)</f>
        <v/>
      </c>
      <c r="R288" s="18"/>
    </row>
    <row r="289" spans="2:18" ht="15.75" customHeight="1" x14ac:dyDescent="0.2">
      <c r="B289" s="146"/>
      <c r="C289" s="38" t="s">
        <v>113</v>
      </c>
      <c r="D289" s="66">
        <f>VLOOKUP($B254,[1]Complaints!$A$4:$AJ$39,32,)</f>
        <v>0</v>
      </c>
      <c r="E289" s="67">
        <f>VLOOKUP($B254,[2]Complaints!$A$4:$AJ$39,32,)</f>
        <v>0</v>
      </c>
      <c r="F289" s="67">
        <f>VLOOKUP($B254,[3]Complaints!$A$4:$AJ$39,32,)</f>
        <v>0</v>
      </c>
      <c r="G289" s="67">
        <f>VLOOKUP($B254,[4]Complaints!$A$4:$AJ$39,32,)</f>
        <v>0</v>
      </c>
      <c r="H289" s="67">
        <f>VLOOKUP($B254,[5]Complaints!$A$4:$AJ$39,32,)</f>
        <v>0</v>
      </c>
      <c r="I289" s="67">
        <f>VLOOKUP($B254,[6]Complaints!$A$4:$AJ$39,32,)</f>
        <v>0</v>
      </c>
      <c r="J289" s="67">
        <f>VLOOKUP($B254,[7]Complaints!$A$4:$AJ$39,32,)</f>
        <v>0</v>
      </c>
      <c r="K289" s="67">
        <f>VLOOKUP($B254,[8]Complaints!$A$4:$AJ$39,32,)</f>
        <v>0</v>
      </c>
      <c r="L289" s="67">
        <f>VLOOKUP($B254,[9]Complaints!$A$4:$AJ$39,32,)</f>
        <v>0</v>
      </c>
      <c r="M289" s="67">
        <f>VLOOKUP($B254,[10]Complaints!$A$4:$AJ$39,32,)</f>
        <v>0</v>
      </c>
      <c r="N289" s="67">
        <f>VLOOKUP($B254,[11]Complaints!$A$4:$AJ$39,32,)</f>
        <v>0</v>
      </c>
      <c r="O289" s="68">
        <f>VLOOKUP($B254,[12]Complaints!$A$4:$AJ$39,32,)</f>
        <v>0</v>
      </c>
      <c r="P289" s="69">
        <f t="shared" si="73"/>
        <v>0</v>
      </c>
      <c r="Q289" s="70" t="str">
        <f>IF(P289=0,"",P289/$P262)</f>
        <v/>
      </c>
      <c r="R289" s="18"/>
    </row>
    <row r="290" spans="2:18" ht="15.75" customHeight="1" x14ac:dyDescent="0.2">
      <c r="B290" s="146"/>
      <c r="C290" s="38" t="s">
        <v>114</v>
      </c>
      <c r="D290" s="66">
        <f>VLOOKUP($B254,[1]Complaints!$A$4:$AJ$39,33,)</f>
        <v>0</v>
      </c>
      <c r="E290" s="67">
        <f>VLOOKUP($B254,[2]Complaints!$A$4:$AJ$39,33,)</f>
        <v>0</v>
      </c>
      <c r="F290" s="67">
        <f>VLOOKUP($B254,[3]Complaints!$A$4:$AJ$39,33,)</f>
        <v>0</v>
      </c>
      <c r="G290" s="67">
        <f>VLOOKUP($B254,[4]Complaints!$A$4:$AJ$39,33,)</f>
        <v>0</v>
      </c>
      <c r="H290" s="67">
        <f>VLOOKUP($B254,[5]Complaints!$A$4:$AJ$39,33,)</f>
        <v>0</v>
      </c>
      <c r="I290" s="67">
        <f>VLOOKUP($B254,[6]Complaints!$A$4:$AJ$39,33,)</f>
        <v>0</v>
      </c>
      <c r="J290" s="67">
        <f>VLOOKUP($B254,[7]Complaints!$A$4:$AJ$39,33,)</f>
        <v>0</v>
      </c>
      <c r="K290" s="67">
        <f>VLOOKUP($B254,[8]Complaints!$A$4:$AJ$39,33,)</f>
        <v>0</v>
      </c>
      <c r="L290" s="67">
        <f>VLOOKUP($B254,[9]Complaints!$A$4:$AJ$39,33,)</f>
        <v>0</v>
      </c>
      <c r="M290" s="67">
        <f>VLOOKUP($B254,[10]Complaints!$A$4:$AJ$39,33,)</f>
        <v>0</v>
      </c>
      <c r="N290" s="67">
        <f>VLOOKUP($B254,[11]Complaints!$A$4:$AJ$39,33,)</f>
        <v>0</v>
      </c>
      <c r="O290" s="68">
        <f>VLOOKUP($B254,[12]Complaints!$A$4:$AJ$39,33,)</f>
        <v>0</v>
      </c>
      <c r="P290" s="69">
        <f t="shared" si="73"/>
        <v>0</v>
      </c>
      <c r="Q290" s="70" t="str">
        <f>IF(P290=0,"",P290/$P262)</f>
        <v/>
      </c>
      <c r="R290" s="18"/>
    </row>
    <row r="291" spans="2:18" ht="15.75" customHeight="1" x14ac:dyDescent="0.2">
      <c r="B291" s="146"/>
      <c r="C291" s="38" t="s">
        <v>115</v>
      </c>
      <c r="D291" s="66">
        <f>VLOOKUP($B254,[1]Complaints!$A$4:$AJ$39,34,)</f>
        <v>0</v>
      </c>
      <c r="E291" s="67">
        <f>VLOOKUP($B254,[2]Complaints!$A$4:$AJ$39,34,)</f>
        <v>0</v>
      </c>
      <c r="F291" s="67">
        <f>VLOOKUP($B254,[3]Complaints!$A$4:$AJ$39,34,)</f>
        <v>0</v>
      </c>
      <c r="G291" s="67">
        <f>VLOOKUP($B254,[4]Complaints!$A$4:$AJ$39,34,)</f>
        <v>0</v>
      </c>
      <c r="H291" s="67">
        <f>VLOOKUP($B254,[5]Complaints!$A$4:$AJ$39,34,)</f>
        <v>0</v>
      </c>
      <c r="I291" s="67">
        <f>VLOOKUP($B254,[6]Complaints!$A$4:$AJ$39,34,)</f>
        <v>0</v>
      </c>
      <c r="J291" s="67">
        <f>VLOOKUP($B254,[7]Complaints!$A$4:$AJ$39,34,)</f>
        <v>0</v>
      </c>
      <c r="K291" s="67">
        <f>VLOOKUP($B254,[8]Complaints!$A$4:$AJ$39,34,)</f>
        <v>0</v>
      </c>
      <c r="L291" s="67">
        <f>VLOOKUP($B254,[9]Complaints!$A$4:$AJ$39,34,)</f>
        <v>0</v>
      </c>
      <c r="M291" s="67">
        <f>VLOOKUP($B254,[10]Complaints!$A$4:$AJ$39,34,)</f>
        <v>0</v>
      </c>
      <c r="N291" s="67">
        <f>VLOOKUP($B254,[11]Complaints!$A$4:$AJ$39,34,)</f>
        <v>0</v>
      </c>
      <c r="O291" s="68">
        <f>VLOOKUP($B254,[12]Complaints!$A$4:$AJ$39,34,)</f>
        <v>0</v>
      </c>
      <c r="P291" s="69">
        <f t="shared" si="73"/>
        <v>0</v>
      </c>
      <c r="Q291" s="70" t="str">
        <f>IF(P291=0,"",P291/$P262)</f>
        <v/>
      </c>
      <c r="R291" s="18"/>
    </row>
    <row r="292" spans="2:18" ht="15.75" customHeight="1" x14ac:dyDescent="0.2">
      <c r="B292" s="146"/>
      <c r="C292" s="38" t="s">
        <v>116</v>
      </c>
      <c r="D292" s="66">
        <f>VLOOKUP($B254,[1]Complaints!$A$4:$AJ$39,35,)</f>
        <v>0</v>
      </c>
      <c r="E292" s="67">
        <f>VLOOKUP($B254,[2]Complaints!$A$4:$AJ$39,35,)</f>
        <v>0</v>
      </c>
      <c r="F292" s="67">
        <f>VLOOKUP($B254,[3]Complaints!$A$4:$AJ$39,35,)</f>
        <v>0</v>
      </c>
      <c r="G292" s="67">
        <f>VLOOKUP($B254,[4]Complaints!$A$4:$AJ$39,35,)</f>
        <v>0</v>
      </c>
      <c r="H292" s="67">
        <f>VLOOKUP($B254,[5]Complaints!$A$4:$AJ$39,35,)</f>
        <v>0</v>
      </c>
      <c r="I292" s="67">
        <f>VLOOKUP($B254,[6]Complaints!$A$4:$AJ$39,35,)</f>
        <v>0</v>
      </c>
      <c r="J292" s="67">
        <f>VLOOKUP($B254,[7]Complaints!$A$4:$AJ$39,35,)</f>
        <v>0</v>
      </c>
      <c r="K292" s="67">
        <f>VLOOKUP($B254,[8]Complaints!$A$4:$AJ$39,35,)</f>
        <v>0</v>
      </c>
      <c r="L292" s="67">
        <f>VLOOKUP($B254,[9]Complaints!$A$4:$AJ$39,35,)</f>
        <v>0</v>
      </c>
      <c r="M292" s="67">
        <f>VLOOKUP($B254,[10]Complaints!$A$4:$AJ$39,35,)</f>
        <v>0</v>
      </c>
      <c r="N292" s="67">
        <f>VLOOKUP($B254,[11]Complaints!$A$4:$AJ$39,35,)</f>
        <v>0</v>
      </c>
      <c r="O292" s="68">
        <f>VLOOKUP($B254,[12]Complaints!$A$4:$AJ$39,35,)</f>
        <v>0</v>
      </c>
      <c r="P292" s="69">
        <f t="shared" si="73"/>
        <v>0</v>
      </c>
      <c r="Q292" s="70" t="str">
        <f>IF(P292=0,"",P292/$P262)</f>
        <v/>
      </c>
      <c r="R292" s="18"/>
    </row>
    <row r="293" spans="2:18" ht="15.75" customHeight="1" thickBot="1" x14ac:dyDescent="0.25">
      <c r="B293" s="147"/>
      <c r="C293" s="41" t="s">
        <v>117</v>
      </c>
      <c r="D293" s="78">
        <f>VLOOKUP($B254,[1]Complaints!$A$4:$AJ$39,36,)</f>
        <v>0</v>
      </c>
      <c r="E293" s="79">
        <f>VLOOKUP($B254,[2]Complaints!$A$4:$AJ$39,36,)</f>
        <v>0</v>
      </c>
      <c r="F293" s="79">
        <f>VLOOKUP($B254,[3]Complaints!$A$4:$AJ$39,36,)</f>
        <v>0</v>
      </c>
      <c r="G293" s="79">
        <f>VLOOKUP($B254,[4]Complaints!$A$4:$AJ$39,36,)</f>
        <v>0</v>
      </c>
      <c r="H293" s="79">
        <f>VLOOKUP($B254,[5]Complaints!$A$4:$AJ$39,36,)</f>
        <v>0</v>
      </c>
      <c r="I293" s="79">
        <f>VLOOKUP($B254,[6]Complaints!$A$4:$AJ$39,36,)</f>
        <v>0</v>
      </c>
      <c r="J293" s="79">
        <f>VLOOKUP($B254,[7]Complaints!$A$4:$AJ$39,36,)</f>
        <v>0</v>
      </c>
      <c r="K293" s="79">
        <f>VLOOKUP($B254,[8]Complaints!$A$4:$AJ$39,36,)</f>
        <v>0</v>
      </c>
      <c r="L293" s="79">
        <f>VLOOKUP($B254,[9]Complaints!$A$4:$AJ$39,36,)</f>
        <v>0</v>
      </c>
      <c r="M293" s="79">
        <f>VLOOKUP($B254,[10]Complaints!$A$4:$AJ$39,36,)</f>
        <v>0</v>
      </c>
      <c r="N293" s="79">
        <f>VLOOKUP($B254,[11]Complaints!$A$4:$AJ$39,36,)</f>
        <v>0</v>
      </c>
      <c r="O293" s="80">
        <f>VLOOKUP($B254,[12]Complaints!$A$4:$AJ$39,36,)</f>
        <v>0</v>
      </c>
      <c r="P293" s="81">
        <f t="shared" si="73"/>
        <v>0</v>
      </c>
      <c r="Q293" s="82" t="str">
        <f>IF(P293=0,"",P293/$P262)</f>
        <v/>
      </c>
      <c r="R293" s="18"/>
    </row>
    <row r="294" spans="2:18" ht="15.75" customHeight="1" thickBot="1" x14ac:dyDescent="0.25"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18"/>
    </row>
    <row r="295" spans="2:18" ht="15.75" customHeight="1" x14ac:dyDescent="0.25">
      <c r="B295" s="158" t="s">
        <v>18</v>
      </c>
      <c r="C295" s="159"/>
      <c r="D295" s="32" t="s">
        <v>0</v>
      </c>
      <c r="E295" s="20" t="s">
        <v>1</v>
      </c>
      <c r="F295" s="20" t="s">
        <v>2</v>
      </c>
      <c r="G295" s="20" t="s">
        <v>3</v>
      </c>
      <c r="H295" s="20" t="s">
        <v>4</v>
      </c>
      <c r="I295" s="20" t="s">
        <v>5</v>
      </c>
      <c r="J295" s="20" t="s">
        <v>6</v>
      </c>
      <c r="K295" s="20" t="s">
        <v>7</v>
      </c>
      <c r="L295" s="20" t="s">
        <v>8</v>
      </c>
      <c r="M295" s="20" t="s">
        <v>9</v>
      </c>
      <c r="N295" s="20" t="s">
        <v>10</v>
      </c>
      <c r="O295" s="33" t="s">
        <v>11</v>
      </c>
      <c r="P295" s="35" t="s">
        <v>12</v>
      </c>
      <c r="Q295" s="160" t="s">
        <v>104</v>
      </c>
      <c r="R295" s="18"/>
    </row>
    <row r="296" spans="2:18" ht="15.75" customHeight="1" thickBot="1" x14ac:dyDescent="0.3">
      <c r="B296" s="162" t="s">
        <v>67</v>
      </c>
      <c r="C296" s="163"/>
      <c r="D296" s="34">
        <v>2020</v>
      </c>
      <c r="E296" s="34">
        <v>2020</v>
      </c>
      <c r="F296" s="34">
        <v>2020</v>
      </c>
      <c r="G296" s="34">
        <v>2020</v>
      </c>
      <c r="H296" s="34">
        <v>2020</v>
      </c>
      <c r="I296" s="34">
        <v>2020</v>
      </c>
      <c r="J296" s="34">
        <v>2020</v>
      </c>
      <c r="K296" s="34">
        <v>2020</v>
      </c>
      <c r="L296" s="34">
        <v>2020</v>
      </c>
      <c r="M296" s="25">
        <v>2021</v>
      </c>
      <c r="N296" s="25">
        <v>2021</v>
      </c>
      <c r="O296" s="25">
        <v>2021</v>
      </c>
      <c r="P296" s="36" t="s">
        <v>122</v>
      </c>
      <c r="Q296" s="161"/>
      <c r="R296" s="18"/>
    </row>
    <row r="297" spans="2:18" ht="12.75" customHeight="1" thickBot="1" x14ac:dyDescent="0.25">
      <c r="B297" s="164" t="s">
        <v>38</v>
      </c>
      <c r="C297" s="165"/>
      <c r="D297" s="42">
        <f>VLOOKUP($B296,[1]Complaints!$A$4:$AJ$39,2,)</f>
        <v>302</v>
      </c>
      <c r="E297" s="43">
        <f>VLOOKUP($B296,[2]Complaints!$A$4:$AJ$39,2,)</f>
        <v>406</v>
      </c>
      <c r="F297" s="43">
        <f>VLOOKUP($B296,[3]Complaints!$A$4:$AJ$39,2)</f>
        <v>661</v>
      </c>
      <c r="G297" s="43">
        <f>VLOOKUP($B296,[4]Complaints!$A$4:$AJ$39,2)</f>
        <v>1017</v>
      </c>
      <c r="H297" s="43">
        <f>VLOOKUP($B296,[5]Complaints!$A$4:$AJ$39,2)</f>
        <v>976</v>
      </c>
      <c r="I297" s="43">
        <f>VLOOKUP($B296,[6]Complaints!$A$4:$AJ$39,2)</f>
        <v>1154</v>
      </c>
      <c r="J297" s="43">
        <f>VLOOKUP($B296,[7]Complaints!$A$4:$AJ$39,2)</f>
        <v>1167</v>
      </c>
      <c r="K297" s="43">
        <f>VLOOKUP($B296,[8]Complaints!$A$4:$AJ$39,2)</f>
        <v>1167</v>
      </c>
      <c r="L297" s="43">
        <f>VLOOKUP($B296,[9]Complaints!$A$4:$AJ$39,2)</f>
        <v>999</v>
      </c>
      <c r="M297" s="43">
        <f>VLOOKUP($B296,[10]Complaints!$A$4:$AJ$39,2)</f>
        <v>819</v>
      </c>
      <c r="N297" s="43">
        <f>VLOOKUP($B296,[11]Complaints!$A$4:$AJ$39,2)</f>
        <v>0</v>
      </c>
      <c r="O297" s="44">
        <f>VLOOKUP($B296,[12]Complaints!$A$4:$AJ$39,2)</f>
        <v>0</v>
      </c>
      <c r="P297" s="45">
        <f>SUM(D297:O297)</f>
        <v>8668</v>
      </c>
      <c r="Q297" s="46"/>
      <c r="R297" s="18"/>
    </row>
    <row r="298" spans="2:18" ht="15.75" customHeight="1" x14ac:dyDescent="0.2">
      <c r="B298" s="166" t="s">
        <v>94</v>
      </c>
      <c r="C298" s="167"/>
      <c r="D298" s="47">
        <f>VLOOKUP($B296,[1]Complaints!$A$4:$AF$39,3,)</f>
        <v>0</v>
      </c>
      <c r="E298" s="48">
        <f>VLOOKUP($B296,[2]Complaints!$A$4:$AF$39,3,)</f>
        <v>1</v>
      </c>
      <c r="F298" s="48">
        <f>VLOOKUP($B296,[3]Complaints!$A$4:$AG$39,3,)</f>
        <v>2</v>
      </c>
      <c r="G298" s="48">
        <f>VLOOKUP($B296,[4]Complaints!$A$4:$AG$39,3,)</f>
        <v>3</v>
      </c>
      <c r="H298" s="48">
        <f>VLOOKUP($B296,[5]Complaints!$A$4:$AG$39,3,)</f>
        <v>1</v>
      </c>
      <c r="I298" s="48">
        <f>VLOOKUP($B296,[6]Complaints!$A$4:$AG$39,3,)</f>
        <v>2</v>
      </c>
      <c r="J298" s="48">
        <f>VLOOKUP($B296,[7]Complaints!$A$4:$AG$39,3,)</f>
        <v>3</v>
      </c>
      <c r="K298" s="48">
        <f>VLOOKUP($B296,[8]Complaints!$A$4:$AG$39,3,)</f>
        <v>3</v>
      </c>
      <c r="L298" s="48">
        <f>VLOOKUP($B296,[9]Complaints!$A$4:$AG$39,3,)</f>
        <v>0</v>
      </c>
      <c r="M298" s="48">
        <f>VLOOKUP($B296,[10]Complaints!$A$4:$AG$39,3,)</f>
        <v>1</v>
      </c>
      <c r="N298" s="48">
        <f>VLOOKUP($B296,[11]Complaints!$A$4:$AG$39,3,)</f>
        <v>0</v>
      </c>
      <c r="O298" s="49">
        <f>VLOOKUP($B296,[12]Complaints!$A$4:$AG$39,3,)</f>
        <v>0</v>
      </c>
      <c r="P298" s="45">
        <f>SUM(D298:O298)</f>
        <v>16</v>
      </c>
      <c r="Q298" s="50"/>
      <c r="R298" s="18"/>
    </row>
    <row r="299" spans="2:18" ht="15.75" customHeight="1" x14ac:dyDescent="0.2">
      <c r="B299" s="26"/>
      <c r="C299" s="28" t="s">
        <v>102</v>
      </c>
      <c r="D299" s="51">
        <f>IF(D297=0,"",D298/D297)</f>
        <v>0</v>
      </c>
      <c r="E299" s="52">
        <f t="shared" ref="E299:O299" si="74">IF(E297=0,"",E298/E297)</f>
        <v>2.4630541871921183E-3</v>
      </c>
      <c r="F299" s="52">
        <f t="shared" si="74"/>
        <v>3.0257186081694403E-3</v>
      </c>
      <c r="G299" s="52">
        <f t="shared" si="74"/>
        <v>2.9498525073746312E-3</v>
      </c>
      <c r="H299" s="52">
        <f t="shared" si="74"/>
        <v>1.0245901639344263E-3</v>
      </c>
      <c r="I299" s="52">
        <f t="shared" si="74"/>
        <v>1.7331022530329288E-3</v>
      </c>
      <c r="J299" s="52">
        <f t="shared" si="74"/>
        <v>2.5706940874035988E-3</v>
      </c>
      <c r="K299" s="52">
        <f t="shared" si="74"/>
        <v>2.5706940874035988E-3</v>
      </c>
      <c r="L299" s="52">
        <f t="shared" si="74"/>
        <v>0</v>
      </c>
      <c r="M299" s="52">
        <f t="shared" si="74"/>
        <v>1.221001221001221E-3</v>
      </c>
      <c r="N299" s="52" t="str">
        <f t="shared" si="74"/>
        <v/>
      </c>
      <c r="O299" s="53" t="str">
        <f t="shared" si="74"/>
        <v/>
      </c>
      <c r="P299" s="54">
        <f>IF(P298="","",P298/P297)</f>
        <v>1.8458698661744347E-3</v>
      </c>
      <c r="Q299" s="50"/>
      <c r="R299" s="18"/>
    </row>
    <row r="300" spans="2:18" s="21" customFormat="1" ht="15.75" customHeight="1" x14ac:dyDescent="0.2">
      <c r="B300" s="155" t="s">
        <v>95</v>
      </c>
      <c r="C300" s="156"/>
      <c r="D300" s="47">
        <f>VLOOKUP($B296,[1]Complaints!$A$4:$AF$39,4,)</f>
        <v>0</v>
      </c>
      <c r="E300" s="48">
        <f>VLOOKUP($B296,[2]Complaints!$A$4:$AF$39,4,)</f>
        <v>1</v>
      </c>
      <c r="F300" s="48">
        <f>VLOOKUP($B296,[3]Complaints!$A$4:$AG$39,4,)</f>
        <v>1</v>
      </c>
      <c r="G300" s="48">
        <f>VLOOKUP($B296,[4]Complaints!$A$4:$AG$39,4,)</f>
        <v>1</v>
      </c>
      <c r="H300" s="48">
        <f>VLOOKUP($B296,[5]Complaints!$A$4:$AG$39,4,)</f>
        <v>0</v>
      </c>
      <c r="I300" s="48">
        <f>VLOOKUP($B296,[6]Complaints!$A$4:$AG$39,4,)</f>
        <v>1</v>
      </c>
      <c r="J300" s="48">
        <f>VLOOKUP($B296,[7]Complaints!$A$4:$AG$39,4,)</f>
        <v>0</v>
      </c>
      <c r="K300" s="48">
        <f>VLOOKUP($B296,[8]Complaints!$A$4:$AG$39,4,)</f>
        <v>0</v>
      </c>
      <c r="L300" s="48">
        <f>VLOOKUP($B296,[9]Complaints!$A$4:$AG$39,4,)</f>
        <v>0</v>
      </c>
      <c r="M300" s="48">
        <f>VLOOKUP($B296,[10]Complaints!$A$4:$AG$39,4,)</f>
        <v>0</v>
      </c>
      <c r="N300" s="48">
        <f>VLOOKUP($B296,[11]Complaints!$A$4:$AG$39,4,)</f>
        <v>0</v>
      </c>
      <c r="O300" s="49">
        <f>VLOOKUP($B296,[12]Complaints!$A$4:$AG$39,4,)</f>
        <v>0</v>
      </c>
      <c r="P300" s="55">
        <f t="shared" ref="P300" si="75">SUM(D300:O300)</f>
        <v>4</v>
      </c>
      <c r="Q300" s="50"/>
    </row>
    <row r="301" spans="2:18" ht="15.75" customHeight="1" x14ac:dyDescent="0.2">
      <c r="B301" s="26"/>
      <c r="C301" s="28" t="s">
        <v>98</v>
      </c>
      <c r="D301" s="51">
        <f>IF(D297=0,"",D300/D297)</f>
        <v>0</v>
      </c>
      <c r="E301" s="52">
        <f t="shared" ref="E301:O301" si="76">IF(E297=0,"",E300/E297)</f>
        <v>2.4630541871921183E-3</v>
      </c>
      <c r="F301" s="52">
        <f t="shared" si="76"/>
        <v>1.5128593040847202E-3</v>
      </c>
      <c r="G301" s="52">
        <f t="shared" si="76"/>
        <v>9.8328416912487715E-4</v>
      </c>
      <c r="H301" s="52">
        <f t="shared" si="76"/>
        <v>0</v>
      </c>
      <c r="I301" s="52">
        <f t="shared" si="76"/>
        <v>8.6655112651646442E-4</v>
      </c>
      <c r="J301" s="52">
        <f t="shared" si="76"/>
        <v>0</v>
      </c>
      <c r="K301" s="52">
        <f t="shared" si="76"/>
        <v>0</v>
      </c>
      <c r="L301" s="52">
        <f t="shared" si="76"/>
        <v>0</v>
      </c>
      <c r="M301" s="52">
        <f t="shared" si="76"/>
        <v>0</v>
      </c>
      <c r="N301" s="52" t="str">
        <f t="shared" si="76"/>
        <v/>
      </c>
      <c r="O301" s="53" t="str">
        <f t="shared" si="76"/>
        <v/>
      </c>
      <c r="P301" s="54">
        <f>IF(P300="","",P300/P297)</f>
        <v>4.6146746654360867E-4</v>
      </c>
      <c r="Q301" s="50"/>
      <c r="R301" s="18"/>
    </row>
    <row r="302" spans="2:18" ht="15.75" customHeight="1" x14ac:dyDescent="0.2">
      <c r="B302" s="155" t="s">
        <v>96</v>
      </c>
      <c r="C302" s="156"/>
      <c r="D302" s="47">
        <f>VLOOKUP($B296,[1]Complaints!$A$4:$AF$39,5,)</f>
        <v>0</v>
      </c>
      <c r="E302" s="48">
        <f>VLOOKUP($B296,[2]Complaints!$A$4:$AF$39,5,)</f>
        <v>0</v>
      </c>
      <c r="F302" s="48">
        <f>VLOOKUP($B296,[3]Complaints!$A$4:$AG$39,5,)</f>
        <v>1</v>
      </c>
      <c r="G302" s="48">
        <f>VLOOKUP($B296,[4]Complaints!$A$4:$AG$39,5,)</f>
        <v>2</v>
      </c>
      <c r="H302" s="48">
        <f>VLOOKUP($B296,[5]Complaints!$A$4:$AG$39,5,)</f>
        <v>1</v>
      </c>
      <c r="I302" s="48">
        <f>VLOOKUP($B296,[6]Complaints!$A$4:$AG$39,5,)</f>
        <v>1</v>
      </c>
      <c r="J302" s="48">
        <f>VLOOKUP($B296,[7]Complaints!$A$4:$AG$39,5,)</f>
        <v>3</v>
      </c>
      <c r="K302" s="48">
        <f>VLOOKUP($B296,[8]Complaints!$A$4:$AG$39,5,)</f>
        <v>3</v>
      </c>
      <c r="L302" s="48">
        <f>VLOOKUP($B296,[9]Complaints!$A$4:$AG$39,5,)</f>
        <v>0</v>
      </c>
      <c r="M302" s="48">
        <f>VLOOKUP($B296,[10]Complaints!$A$4:$AG$39,5,)</f>
        <v>1</v>
      </c>
      <c r="N302" s="48">
        <f>VLOOKUP($B296,[11]Complaints!$A$4:$AG$39,5,)</f>
        <v>0</v>
      </c>
      <c r="O302" s="49">
        <f>VLOOKUP($B296,[12]Complaints!$A$4:$AG$39,5,)</f>
        <v>0</v>
      </c>
      <c r="P302" s="55">
        <f t="shared" ref="P302" si="77">SUM(D302:O302)</f>
        <v>12</v>
      </c>
      <c r="Q302" s="50"/>
      <c r="R302" s="18"/>
    </row>
    <row r="303" spans="2:18" ht="15.75" customHeight="1" x14ac:dyDescent="0.2">
      <c r="B303" s="26"/>
      <c r="C303" s="28" t="s">
        <v>99</v>
      </c>
      <c r="D303" s="51">
        <f>IF(D297=0,"",D302/D297)</f>
        <v>0</v>
      </c>
      <c r="E303" s="52">
        <f t="shared" ref="E303:O303" si="78">IF(E297=0,"",E302/E297)</f>
        <v>0</v>
      </c>
      <c r="F303" s="52">
        <f t="shared" si="78"/>
        <v>1.5128593040847202E-3</v>
      </c>
      <c r="G303" s="52">
        <f t="shared" si="78"/>
        <v>1.9665683382497543E-3</v>
      </c>
      <c r="H303" s="52">
        <f t="shared" si="78"/>
        <v>1.0245901639344263E-3</v>
      </c>
      <c r="I303" s="52">
        <f t="shared" si="78"/>
        <v>8.6655112651646442E-4</v>
      </c>
      <c r="J303" s="52">
        <f t="shared" si="78"/>
        <v>2.5706940874035988E-3</v>
      </c>
      <c r="K303" s="52">
        <f t="shared" si="78"/>
        <v>2.5706940874035988E-3</v>
      </c>
      <c r="L303" s="52">
        <f t="shared" si="78"/>
        <v>0</v>
      </c>
      <c r="M303" s="52">
        <f t="shared" si="78"/>
        <v>1.221001221001221E-3</v>
      </c>
      <c r="N303" s="52" t="str">
        <f t="shared" si="78"/>
        <v/>
      </c>
      <c r="O303" s="53" t="str">
        <f t="shared" si="78"/>
        <v/>
      </c>
      <c r="P303" s="54">
        <f>IF(P302="","",P302/P297)</f>
        <v>1.3844023996308261E-3</v>
      </c>
      <c r="Q303" s="50"/>
      <c r="R303" s="18"/>
    </row>
    <row r="304" spans="2:18" ht="15.75" customHeight="1" x14ac:dyDescent="0.2">
      <c r="B304" s="157" t="s">
        <v>97</v>
      </c>
      <c r="C304" s="156"/>
      <c r="D304" s="47">
        <f>VLOOKUP($B296,[1]Complaints!$A$4:$AF$39,6,)</f>
        <v>0</v>
      </c>
      <c r="E304" s="48">
        <f>VLOOKUP($B296,[2]Complaints!$A$4:$AF$39,6,)</f>
        <v>0</v>
      </c>
      <c r="F304" s="48">
        <f>VLOOKUP($B296,[3]Complaints!$A$4:$AG$39,6,)</f>
        <v>2</v>
      </c>
      <c r="G304" s="48">
        <f>VLOOKUP($B296,[4]Complaints!$A$4:$AG$39,6,)</f>
        <v>2</v>
      </c>
      <c r="H304" s="48">
        <f>VLOOKUP($B296,[5]Complaints!$A$4:$AG$39,6,)</f>
        <v>0</v>
      </c>
      <c r="I304" s="48">
        <f>VLOOKUP($B296,[6]Complaints!$A$4:$AG$39,6,)</f>
        <v>1</v>
      </c>
      <c r="J304" s="48">
        <f>VLOOKUP($B296,[7]Complaints!$A$4:$AG$39,6,)</f>
        <v>3</v>
      </c>
      <c r="K304" s="48">
        <f>VLOOKUP($B296,[8]Complaints!$A$4:$AG$39,6,)</f>
        <v>3</v>
      </c>
      <c r="L304" s="48">
        <f>VLOOKUP($B296,[9]Complaints!$A$4:$AG$39,6,)</f>
        <v>0</v>
      </c>
      <c r="M304" s="48">
        <f>VLOOKUP($B296,[10]Complaints!$A$4:$AG$39,6,)</f>
        <v>0</v>
      </c>
      <c r="N304" s="48">
        <f>VLOOKUP($B296,[11]Complaints!$A$4:$AG$39,6,)</f>
        <v>0</v>
      </c>
      <c r="O304" s="49">
        <f>VLOOKUP($B296,[12]Complaints!$A$4:$AG$39,6,)</f>
        <v>0</v>
      </c>
      <c r="P304" s="55">
        <f t="shared" ref="P304" si="79">SUM(D304:O304)</f>
        <v>11</v>
      </c>
      <c r="Q304" s="50"/>
      <c r="R304" s="18"/>
    </row>
    <row r="305" spans="2:18" ht="15.75" customHeight="1" thickBot="1" x14ac:dyDescent="0.25">
      <c r="B305" s="27"/>
      <c r="C305" s="29" t="s">
        <v>100</v>
      </c>
      <c r="D305" s="56" t="str">
        <f>IF(D304=0,"",D304/D302)</f>
        <v/>
      </c>
      <c r="E305" s="57" t="str">
        <f t="shared" ref="E305:H305" si="80">IF(E304=0,"",E304/E302)</f>
        <v/>
      </c>
      <c r="F305" s="57">
        <f t="shared" si="80"/>
        <v>2</v>
      </c>
      <c r="G305" s="57">
        <f t="shared" si="80"/>
        <v>1</v>
      </c>
      <c r="H305" s="57" t="str">
        <f t="shared" si="80"/>
        <v/>
      </c>
      <c r="I305" s="57">
        <f>IF(I304=0,"",I304/I302)</f>
        <v>1</v>
      </c>
      <c r="J305" s="57">
        <f t="shared" ref="J305:O305" si="81">IF(J304=0,"",J304/J302)</f>
        <v>1</v>
      </c>
      <c r="K305" s="57">
        <f t="shared" si="81"/>
        <v>1</v>
      </c>
      <c r="L305" s="57" t="str">
        <f t="shared" si="81"/>
        <v/>
      </c>
      <c r="M305" s="57" t="str">
        <f t="shared" si="81"/>
        <v/>
      </c>
      <c r="N305" s="57" t="str">
        <f t="shared" si="81"/>
        <v/>
      </c>
      <c r="O305" s="58" t="str">
        <f t="shared" si="81"/>
        <v/>
      </c>
      <c r="P305" s="59">
        <f>IF(P304=0,"",P304/P302)</f>
        <v>0.91666666666666663</v>
      </c>
      <c r="Q305" s="60"/>
      <c r="R305" s="18"/>
    </row>
    <row r="306" spans="2:18" ht="15.75" customHeight="1" x14ac:dyDescent="0.2">
      <c r="B306" s="168" t="s">
        <v>103</v>
      </c>
      <c r="C306" s="30" t="s">
        <v>77</v>
      </c>
      <c r="D306" s="61">
        <f>VLOOKUP($B296,[1]Complaints!$A$4:$AJ$39,7,)</f>
        <v>0</v>
      </c>
      <c r="E306" s="43">
        <f>VLOOKUP($B296,[2]Complaints!$A$4:$AJ$39,7,)</f>
        <v>0</v>
      </c>
      <c r="F306" s="43">
        <f>VLOOKUP($B296,[3]Complaints!$A$4:$AJ$39,7,)</f>
        <v>0</v>
      </c>
      <c r="G306" s="43">
        <f>VLOOKUP($B296,[4]Complaints!$A$4:$AJ$39,7,)</f>
        <v>0</v>
      </c>
      <c r="H306" s="43">
        <f>VLOOKUP($B296,[5]Complaints!$A$4:$AJ$39,7,)</f>
        <v>0</v>
      </c>
      <c r="I306" s="43">
        <f>VLOOKUP($B296,[6]Complaints!$A$4:$AJ$39,7,)</f>
        <v>0</v>
      </c>
      <c r="J306" s="43">
        <f>VLOOKUP($B296,[7]Complaints!$A$4:$AJ$39,7,)</f>
        <v>0</v>
      </c>
      <c r="K306" s="43">
        <f>VLOOKUP($B296,[8]Complaints!$A$4:$AJ$39,7,)</f>
        <v>0</v>
      </c>
      <c r="L306" s="43">
        <f>VLOOKUP($B296,[9]Complaints!$A$4:$AJ$39,7,)</f>
        <v>0</v>
      </c>
      <c r="M306" s="43">
        <f>VLOOKUP($B296,[10]Complaints!$A$4:$AJ$39,7,)</f>
        <v>0</v>
      </c>
      <c r="N306" s="43">
        <f>VLOOKUP($B296,[11]Complaints!$A$4:$AJ$39,7,)</f>
        <v>0</v>
      </c>
      <c r="O306" s="44">
        <f>VLOOKUP($B296,[12]Complaints!$A$4:$AJ$39,7,)</f>
        <v>0</v>
      </c>
      <c r="P306" s="45">
        <f>SUM(D306:O306)</f>
        <v>0</v>
      </c>
      <c r="Q306" s="46" t="str">
        <f>IF(P306=0,"",P306/$P298)</f>
        <v/>
      </c>
      <c r="R306" s="18"/>
    </row>
    <row r="307" spans="2:18" ht="15.75" customHeight="1" x14ac:dyDescent="0.2">
      <c r="B307" s="169"/>
      <c r="C307" s="31" t="s">
        <v>89</v>
      </c>
      <c r="D307" s="47">
        <f>VLOOKUP($B296,[1]Complaints!$A$4:$AJ$39,8,)</f>
        <v>0</v>
      </c>
      <c r="E307" s="48">
        <f>VLOOKUP($B296,[2]Complaints!$A$4:$AJ$39,8,)</f>
        <v>0</v>
      </c>
      <c r="F307" s="48">
        <f>VLOOKUP($B296,[3]Complaints!$A$4:$AJ$39,8,)</f>
        <v>0</v>
      </c>
      <c r="G307" s="48">
        <f>VLOOKUP($B296,[4]Complaints!$A$4:$AJ$39,8,)</f>
        <v>0</v>
      </c>
      <c r="H307" s="48">
        <f>VLOOKUP($B296,[5]Complaints!$A$4:$AJ$39,8,)</f>
        <v>0</v>
      </c>
      <c r="I307" s="48">
        <f>VLOOKUP($B296,[6]Complaints!$A$4:$AJ$39,8,)</f>
        <v>0</v>
      </c>
      <c r="J307" s="48">
        <f>VLOOKUP($B296,[7]Complaints!$A$4:$AJ$39,8,)</f>
        <v>0</v>
      </c>
      <c r="K307" s="48">
        <f>VLOOKUP($B296,[8]Complaints!$A$4:$AJ$39,8,)</f>
        <v>1</v>
      </c>
      <c r="L307" s="48">
        <f>VLOOKUP($B296,[9]Complaints!$A$4:$AJ$39,8,)</f>
        <v>0</v>
      </c>
      <c r="M307" s="48">
        <f>VLOOKUP($B296,[10]Complaints!$A$4:$AJ$39,8,)</f>
        <v>1</v>
      </c>
      <c r="N307" s="48">
        <f>VLOOKUP($B296,[11]Complaints!$A$4:$AJ$39,8,)</f>
        <v>0</v>
      </c>
      <c r="O307" s="49">
        <f>VLOOKUP($B296,[12]Complaints!$A$4:$AJ$39,8,)</f>
        <v>0</v>
      </c>
      <c r="P307" s="55">
        <f t="shared" ref="P307:P308" si="82">SUM(D307:O307)</f>
        <v>2</v>
      </c>
      <c r="Q307" s="50">
        <f>IF(P307="","",P307/$P298)</f>
        <v>0.125</v>
      </c>
      <c r="R307" s="18"/>
    </row>
    <row r="308" spans="2:18" ht="15.75" customHeight="1" x14ac:dyDescent="0.2">
      <c r="B308" s="169"/>
      <c r="C308" s="31" t="s">
        <v>88</v>
      </c>
      <c r="D308" s="47">
        <f>VLOOKUP($B296,[1]Complaints!$A$4:$AJ$39,9,)</f>
        <v>0</v>
      </c>
      <c r="E308" s="48">
        <f>VLOOKUP($B296,[2]Complaints!$A$4:$AJ$39,9,)</f>
        <v>0</v>
      </c>
      <c r="F308" s="48">
        <f>VLOOKUP($B296,[3]Complaints!$A$4:$AJ$39,9,)</f>
        <v>1</v>
      </c>
      <c r="G308" s="48">
        <f>VLOOKUP($B296,[4]Complaints!$A$4:$AJ$39,9,)</f>
        <v>0</v>
      </c>
      <c r="H308" s="48">
        <f>VLOOKUP($B296,[5]Complaints!$A$4:$AJ$39,9,)</f>
        <v>0</v>
      </c>
      <c r="I308" s="48">
        <f>VLOOKUP($B296,[6]Complaints!$A$4:$AJ$39,9,)</f>
        <v>0</v>
      </c>
      <c r="J308" s="48">
        <f>VLOOKUP($B296,[7]Complaints!$A$4:$AJ$39,9,)</f>
        <v>0</v>
      </c>
      <c r="K308" s="48">
        <f>VLOOKUP($B296,[8]Complaints!$A$4:$AJ$39,9,)</f>
        <v>0</v>
      </c>
      <c r="L308" s="48">
        <f>VLOOKUP($B296,[9]Complaints!$A$4:$AJ$39,9,)</f>
        <v>0</v>
      </c>
      <c r="M308" s="48">
        <f>VLOOKUP($B296,[10]Complaints!$A$4:$AJ$39,9,)</f>
        <v>0</v>
      </c>
      <c r="N308" s="48">
        <f>VLOOKUP($B296,[11]Complaints!$A$4:$AJ$39,9,)</f>
        <v>0</v>
      </c>
      <c r="O308" s="49">
        <f>VLOOKUP($B296,[12]Complaints!$A$4:$AJ$39,9,)</f>
        <v>0</v>
      </c>
      <c r="P308" s="55">
        <f t="shared" si="82"/>
        <v>1</v>
      </c>
      <c r="Q308" s="50">
        <f>IF(P308=0,"",P308/$P298)</f>
        <v>6.25E-2</v>
      </c>
      <c r="R308" s="18"/>
    </row>
    <row r="309" spans="2:18" ht="15.75" customHeight="1" x14ac:dyDescent="0.2">
      <c r="B309" s="169"/>
      <c r="C309" s="31" t="s">
        <v>13</v>
      </c>
      <c r="D309" s="47">
        <f>VLOOKUP($B296,[1]Complaints!$A$4:$AJ$39,10,)</f>
        <v>0</v>
      </c>
      <c r="E309" s="48">
        <f>VLOOKUP($B296,[2]Complaints!$A$4:$AJ$39,10,)</f>
        <v>1</v>
      </c>
      <c r="F309" s="48">
        <f>VLOOKUP($B296,[3]Complaints!$A$4:$AJ$39,10,)</f>
        <v>0</v>
      </c>
      <c r="G309" s="48">
        <f>VLOOKUP($B296,[4]Complaints!$A$4:$AJ$39,10,)</f>
        <v>1</v>
      </c>
      <c r="H309" s="48">
        <f>VLOOKUP($B296,[5]Complaints!$A$4:$AJ$39,10,)</f>
        <v>0</v>
      </c>
      <c r="I309" s="48">
        <f>VLOOKUP($B296,[6]Complaints!$A$4:$AJ$39,10,)</f>
        <v>1</v>
      </c>
      <c r="J309" s="48">
        <f>VLOOKUP($B296,[7]Complaints!$A$4:$AJ$39,10,)</f>
        <v>0</v>
      </c>
      <c r="K309" s="48">
        <f>VLOOKUP($B296,[8]Complaints!$A$4:$AJ$39,10,)</f>
        <v>0</v>
      </c>
      <c r="L309" s="48">
        <f>VLOOKUP($B296,[9]Complaints!$A$4:$AJ$39,10,)</f>
        <v>0</v>
      </c>
      <c r="M309" s="48">
        <f>VLOOKUP($B296,[10]Complaints!$A$4:$AJ$39,10,)</f>
        <v>0</v>
      </c>
      <c r="N309" s="48">
        <f>VLOOKUP($B296,[11]Complaints!$A$4:$AJ$39,10,)</f>
        <v>0</v>
      </c>
      <c r="O309" s="49">
        <f>VLOOKUP($B296,[12]Complaints!$A$4:$AJ$39,10,)</f>
        <v>0</v>
      </c>
      <c r="P309" s="55">
        <f>SUM(D309:O309)</f>
        <v>3</v>
      </c>
      <c r="Q309" s="50">
        <f>IF(P309=0,"",P309/$P298)</f>
        <v>0.1875</v>
      </c>
      <c r="R309" s="18"/>
    </row>
    <row r="310" spans="2:18" ht="15.75" customHeight="1" x14ac:dyDescent="0.2">
      <c r="B310" s="169"/>
      <c r="C310" s="31" t="s">
        <v>101</v>
      </c>
      <c r="D310" s="47">
        <f>VLOOKUP($B296,[1]Complaints!$A$4:$AJ$39,11,)</f>
        <v>0</v>
      </c>
      <c r="E310" s="48">
        <f>VLOOKUP($B296,[2]Complaints!$A$4:$AJ$39,11,)</f>
        <v>0</v>
      </c>
      <c r="F310" s="48">
        <f>VLOOKUP($B296,[3]Complaints!$A$4:$AJ$39,11,)</f>
        <v>0</v>
      </c>
      <c r="G310" s="48">
        <f>VLOOKUP($B296,[4]Complaints!$A$4:$AJ$39,11,)</f>
        <v>0</v>
      </c>
      <c r="H310" s="48">
        <f>VLOOKUP($B296,[5]Complaints!$A$4:$AJ$39,11,)</f>
        <v>0</v>
      </c>
      <c r="I310" s="48">
        <f>VLOOKUP($B296,[6]Complaints!$A$4:$AJ$39,11,)</f>
        <v>1</v>
      </c>
      <c r="J310" s="48">
        <f>VLOOKUP($B296,[7]Complaints!$A$4:$AJ$39,11,)</f>
        <v>1</v>
      </c>
      <c r="K310" s="48">
        <f>VLOOKUP($B296,[8]Complaints!$A$4:$AJ$39,11,)</f>
        <v>0</v>
      </c>
      <c r="L310" s="48">
        <f>VLOOKUP($B296,[9]Complaints!$A$4:$AJ$39,11,)</f>
        <v>0</v>
      </c>
      <c r="M310" s="48">
        <f>VLOOKUP($B296,[10]Complaints!$A$4:$AJ$39,11,)</f>
        <v>0</v>
      </c>
      <c r="N310" s="48">
        <f>VLOOKUP($B296,[11]Complaints!$A$4:$AJ$39,11,)</f>
        <v>0</v>
      </c>
      <c r="O310" s="49">
        <f>VLOOKUP($B296,[12]Complaints!$A$4:$AJ$39,11,)</f>
        <v>0</v>
      </c>
      <c r="P310" s="55">
        <f t="shared" ref="P310:P319" si="83">SUM(D310:O310)</f>
        <v>2</v>
      </c>
      <c r="Q310" s="50">
        <f>IF(P310=0,"",P310/$P298)</f>
        <v>0.125</v>
      </c>
      <c r="R310" s="18"/>
    </row>
    <row r="311" spans="2:18" s="19" customFormat="1" ht="15.75" customHeight="1" x14ac:dyDescent="0.2">
      <c r="B311" s="169"/>
      <c r="C311" s="31" t="s">
        <v>93</v>
      </c>
      <c r="D311" s="47">
        <f>VLOOKUP($B296,[1]Complaints!$A$4:$AJ$39,12,)</f>
        <v>0</v>
      </c>
      <c r="E311" s="48">
        <f>VLOOKUP($B296,[2]Complaints!$A$4:$AJ$39,12,)</f>
        <v>0</v>
      </c>
      <c r="F311" s="48">
        <f>VLOOKUP($B296,[3]Complaints!$A$4:$AJ$39,12,)</f>
        <v>1</v>
      </c>
      <c r="G311" s="48">
        <f>VLOOKUP($B296,[4]Complaints!$A$4:$AJ$39,12,)</f>
        <v>0</v>
      </c>
      <c r="H311" s="48">
        <f>VLOOKUP($B296,[5]Complaints!$A$4:$AJ$39,12,)</f>
        <v>0</v>
      </c>
      <c r="I311" s="48">
        <f>VLOOKUP($B296,[6]Complaints!$A$4:$AJ$39,12,)</f>
        <v>0</v>
      </c>
      <c r="J311" s="48">
        <f>VLOOKUP($B296,[7]Complaints!$A$4:$AJ$39,12,)</f>
        <v>0</v>
      </c>
      <c r="K311" s="48">
        <f>VLOOKUP($B296,[8]Complaints!$A$4:$AJ$39,12,)</f>
        <v>0</v>
      </c>
      <c r="L311" s="48">
        <f>VLOOKUP($B296,[9]Complaints!$A$4:$AJ$39,12,)</f>
        <v>0</v>
      </c>
      <c r="M311" s="48">
        <f>VLOOKUP($B296,[10]Complaints!$A$4:$AJ$39,12,)</f>
        <v>0</v>
      </c>
      <c r="N311" s="48">
        <f>VLOOKUP($B296,[11]Complaints!$A$4:$AJ$39,12,)</f>
        <v>0</v>
      </c>
      <c r="O311" s="49">
        <f>VLOOKUP($B296,[12]Complaints!$A$4:$AJ$39,12,)</f>
        <v>0</v>
      </c>
      <c r="P311" s="55">
        <f t="shared" si="83"/>
        <v>1</v>
      </c>
      <c r="Q311" s="50">
        <f>IF(P311=0,"",P311/$P298)</f>
        <v>6.25E-2</v>
      </c>
    </row>
    <row r="312" spans="2:18" ht="15.75" customHeight="1" x14ac:dyDescent="0.2">
      <c r="B312" s="169"/>
      <c r="C312" s="31" t="s">
        <v>78</v>
      </c>
      <c r="D312" s="47">
        <f>VLOOKUP($B296,[1]Complaints!$A$4:$AJ$39,13,)</f>
        <v>0</v>
      </c>
      <c r="E312" s="48">
        <f>VLOOKUP($B296,[2]Complaints!$A$4:$AJ$39,13,)</f>
        <v>0</v>
      </c>
      <c r="F312" s="48">
        <f>VLOOKUP($B296,[3]Complaints!$A$4:$AJ$39,13,)</f>
        <v>0</v>
      </c>
      <c r="G312" s="48">
        <f>VLOOKUP($B296,[4]Complaints!$A$4:$AJ$39,13,)</f>
        <v>1</v>
      </c>
      <c r="H312" s="48">
        <f>VLOOKUP($B296,[5]Complaints!$A$4:$AJ$39,13,)</f>
        <v>0</v>
      </c>
      <c r="I312" s="48">
        <f>VLOOKUP($B296,[6]Complaints!$A$4:$AJ$39,13,)</f>
        <v>0</v>
      </c>
      <c r="J312" s="48">
        <f>VLOOKUP($B296,[7]Complaints!$A$4:$AJ$39,13,)</f>
        <v>0</v>
      </c>
      <c r="K312" s="48">
        <f>VLOOKUP($B296,[8]Complaints!$A$4:$AJ$39,13,)</f>
        <v>0</v>
      </c>
      <c r="L312" s="48">
        <f>VLOOKUP($B296,[9]Complaints!$A$4:$AJ$39,13,)</f>
        <v>0</v>
      </c>
      <c r="M312" s="48">
        <f>VLOOKUP($B296,[10]Complaints!$A$4:$AJ$39,13,)</f>
        <v>0</v>
      </c>
      <c r="N312" s="48">
        <f>VLOOKUP($B296,[11]Complaints!$A$4:$AJ$39,13,)</f>
        <v>0</v>
      </c>
      <c r="O312" s="49">
        <f>VLOOKUP($B296,[12]Complaints!$A$4:$AJ$39,13,)</f>
        <v>0</v>
      </c>
      <c r="P312" s="55">
        <f t="shared" si="83"/>
        <v>1</v>
      </c>
      <c r="Q312" s="50">
        <f>IF(P312=0,"",P312/$P298)</f>
        <v>6.25E-2</v>
      </c>
      <c r="R312" s="18"/>
    </row>
    <row r="313" spans="2:18" ht="15.75" customHeight="1" x14ac:dyDescent="0.2">
      <c r="B313" s="169"/>
      <c r="C313" s="31" t="s">
        <v>92</v>
      </c>
      <c r="D313" s="47">
        <f>VLOOKUP($B296,[1]Complaints!$A$4:$AJ$39,14,)</f>
        <v>0</v>
      </c>
      <c r="E313" s="48">
        <f>VLOOKUP($B296,[2]Complaints!$A$4:$AJ$39,14,)</f>
        <v>0</v>
      </c>
      <c r="F313" s="48">
        <f>VLOOKUP($B296,[3]Complaints!$A$4:$AJ$39,14,)</f>
        <v>0</v>
      </c>
      <c r="G313" s="48">
        <f>VLOOKUP($B296,[4]Complaints!$A$4:$AJ$39,14,)</f>
        <v>0</v>
      </c>
      <c r="H313" s="48">
        <f>VLOOKUP($B296,[5]Complaints!$A$4:$AJ$39,14,)</f>
        <v>0</v>
      </c>
      <c r="I313" s="48">
        <f>VLOOKUP($B296,[6]Complaints!$A$4:$AJ$39,14,)</f>
        <v>0</v>
      </c>
      <c r="J313" s="48">
        <f>VLOOKUP($B296,[7]Complaints!$A$4:$AJ$39,14,)</f>
        <v>0</v>
      </c>
      <c r="K313" s="48">
        <f>VLOOKUP($B296,[8]Complaints!$A$4:$AJ$39,14,)</f>
        <v>0</v>
      </c>
      <c r="L313" s="48">
        <f>VLOOKUP($B296,[9]Complaints!$A$4:$AJ$39,14,)</f>
        <v>0</v>
      </c>
      <c r="M313" s="48">
        <f>VLOOKUP($B296,[10]Complaints!$A$4:$AJ$39,14,)</f>
        <v>0</v>
      </c>
      <c r="N313" s="48">
        <f>VLOOKUP($B296,[11]Complaints!$A$4:$AJ$39,14,)</f>
        <v>0</v>
      </c>
      <c r="O313" s="49">
        <f>VLOOKUP($B296,[12]Complaints!$A$4:$AJ$39,14,)</f>
        <v>0</v>
      </c>
      <c r="P313" s="55">
        <f t="shared" si="83"/>
        <v>0</v>
      </c>
      <c r="Q313" s="50" t="str">
        <f>IF(P313=0,"",P313/$P298)</f>
        <v/>
      </c>
      <c r="R313" s="18"/>
    </row>
    <row r="314" spans="2:18" ht="15.75" customHeight="1" x14ac:dyDescent="0.2">
      <c r="B314" s="169"/>
      <c r="C314" s="31" t="s">
        <v>91</v>
      </c>
      <c r="D314" s="47">
        <f>VLOOKUP($B296,[1]Complaints!$A$4:$AJ$39,15,)</f>
        <v>0</v>
      </c>
      <c r="E314" s="48">
        <f>VLOOKUP($B296,[2]Complaints!$A$4:$AJ$39,15,)</f>
        <v>0</v>
      </c>
      <c r="F314" s="48">
        <f>VLOOKUP($B296,[3]Complaints!$A$4:$AJ$39,15,)</f>
        <v>0</v>
      </c>
      <c r="G314" s="48">
        <f>VLOOKUP($B296,[4]Complaints!$A$4:$AJ$39,15,)</f>
        <v>1</v>
      </c>
      <c r="H314" s="48">
        <f>VLOOKUP($B296,[5]Complaints!$A$4:$AJ$39,15,)</f>
        <v>1</v>
      </c>
      <c r="I314" s="48">
        <f>VLOOKUP($B296,[6]Complaints!$A$4:$AJ$39,15,)</f>
        <v>0</v>
      </c>
      <c r="J314" s="48">
        <f>VLOOKUP($B296,[7]Complaints!$A$4:$AJ$39,15,)</f>
        <v>2</v>
      </c>
      <c r="K314" s="48">
        <f>VLOOKUP($B296,[8]Complaints!$A$4:$AJ$39,15,)</f>
        <v>0</v>
      </c>
      <c r="L314" s="48">
        <f>VLOOKUP($B296,[9]Complaints!$A$4:$AJ$39,15,)</f>
        <v>0</v>
      </c>
      <c r="M314" s="48">
        <f>VLOOKUP($B296,[10]Complaints!$A$4:$AJ$39,15,)</f>
        <v>0</v>
      </c>
      <c r="N314" s="48">
        <f>VLOOKUP($B296,[11]Complaints!$A$4:$AJ$39,15,)</f>
        <v>0</v>
      </c>
      <c r="O314" s="49">
        <f>VLOOKUP($B296,[12]Complaints!$A$4:$AJ$39,15,)</f>
        <v>0</v>
      </c>
      <c r="P314" s="55">
        <f t="shared" si="83"/>
        <v>4</v>
      </c>
      <c r="Q314" s="50">
        <f>IF(P314=0,"",P314/$P298)</f>
        <v>0.25</v>
      </c>
      <c r="R314" s="18"/>
    </row>
    <row r="315" spans="2:18" ht="15.75" customHeight="1" x14ac:dyDescent="0.2">
      <c r="B315" s="169"/>
      <c r="C315" s="31" t="s">
        <v>79</v>
      </c>
      <c r="D315" s="47">
        <f>VLOOKUP($B296,[1]Complaints!$A$4:$AJ$39,16,)</f>
        <v>0</v>
      </c>
      <c r="E315" s="48">
        <f>VLOOKUP($B296,[2]Complaints!$A$4:$AJ$39,16,)</f>
        <v>0</v>
      </c>
      <c r="F315" s="48">
        <f>VLOOKUP($B296,[3]Complaints!$A$4:$AJ$39,16,)</f>
        <v>0</v>
      </c>
      <c r="G315" s="48">
        <f>VLOOKUP($B296,[4]Complaints!$A$4:$AJ$39,16,)</f>
        <v>0</v>
      </c>
      <c r="H315" s="48">
        <f>VLOOKUP($B296,[5]Complaints!$A$4:$AJ$39,16,)</f>
        <v>0</v>
      </c>
      <c r="I315" s="48">
        <f>VLOOKUP($B296,[6]Complaints!$A$4:$AJ$39,16,)</f>
        <v>0</v>
      </c>
      <c r="J315" s="48">
        <f>VLOOKUP($B296,[7]Complaints!$A$4:$AJ$39,16,)</f>
        <v>0</v>
      </c>
      <c r="K315" s="48">
        <f>VLOOKUP($B296,[8]Complaints!$A$4:$AJ$39,16,)</f>
        <v>0</v>
      </c>
      <c r="L315" s="48">
        <f>VLOOKUP($B296,[9]Complaints!$A$4:$AJ$39,16,)</f>
        <v>0</v>
      </c>
      <c r="M315" s="48">
        <f>VLOOKUP($B296,[10]Complaints!$A$4:$AJ$39,16,)</f>
        <v>0</v>
      </c>
      <c r="N315" s="48">
        <f>VLOOKUP($B296,[11]Complaints!$A$4:$AJ$39,16,)</f>
        <v>0</v>
      </c>
      <c r="O315" s="49">
        <f>VLOOKUP($B296,[12]Complaints!$A$4:$AJ$39,16,)</f>
        <v>0</v>
      </c>
      <c r="P315" s="55">
        <f t="shared" si="83"/>
        <v>0</v>
      </c>
      <c r="Q315" s="50" t="str">
        <f>IF(P315=0,"",P315/$P298)</f>
        <v/>
      </c>
      <c r="R315" s="18"/>
    </row>
    <row r="316" spans="2:18" ht="15.75" customHeight="1" x14ac:dyDescent="0.2">
      <c r="B316" s="169"/>
      <c r="C316" s="31" t="s">
        <v>80</v>
      </c>
      <c r="D316" s="47">
        <f>VLOOKUP($B296,[1]Complaints!$A$4:$AJ$39,17,)</f>
        <v>0</v>
      </c>
      <c r="E316" s="48">
        <f>VLOOKUP($B296,[2]Complaints!$A$4:$AJ$39,17,)</f>
        <v>0</v>
      </c>
      <c r="F316" s="48">
        <f>VLOOKUP($B296,[3]Complaints!$A$4:$AJ$39,17,)</f>
        <v>0</v>
      </c>
      <c r="G316" s="48">
        <f>VLOOKUP($B296,[4]Complaints!$A$4:$AJ$39,17,)</f>
        <v>0</v>
      </c>
      <c r="H316" s="48">
        <f>VLOOKUP($B296,[5]Complaints!$A$4:$AJ$39,17,)</f>
        <v>0</v>
      </c>
      <c r="I316" s="48">
        <f>VLOOKUP($B296,[6]Complaints!$A$4:$AJ$39,17,)</f>
        <v>0</v>
      </c>
      <c r="J316" s="48">
        <f>VLOOKUP($B296,[7]Complaints!$A$4:$AJ$39,17,)</f>
        <v>0</v>
      </c>
      <c r="K316" s="48">
        <f>VLOOKUP($B296,[8]Complaints!$A$4:$AJ$39,17,)</f>
        <v>0</v>
      </c>
      <c r="L316" s="48">
        <f>VLOOKUP($B296,[9]Complaints!$A$4:$AJ$39,17,)</f>
        <v>0</v>
      </c>
      <c r="M316" s="48">
        <f>VLOOKUP($B296,[10]Complaints!$A$4:$AJ$39,17,)</f>
        <v>0</v>
      </c>
      <c r="N316" s="48">
        <f>VLOOKUP($B296,[11]Complaints!$A$4:$AJ$39,17,)</f>
        <v>0</v>
      </c>
      <c r="O316" s="49">
        <f>VLOOKUP($B296,[12]Complaints!$A$4:$AJ$39,17,)</f>
        <v>0</v>
      </c>
      <c r="P316" s="55">
        <f t="shared" si="83"/>
        <v>0</v>
      </c>
      <c r="Q316" s="50" t="str">
        <f>IF(P316=0,"",P316/$P298)</f>
        <v/>
      </c>
      <c r="R316" s="18"/>
    </row>
    <row r="317" spans="2:18" ht="15.75" customHeight="1" x14ac:dyDescent="0.2">
      <c r="B317" s="169"/>
      <c r="C317" s="31" t="s">
        <v>81</v>
      </c>
      <c r="D317" s="47">
        <f>VLOOKUP($B296,[1]Complaints!$A$4:$AJ$39,18,)</f>
        <v>0</v>
      </c>
      <c r="E317" s="48">
        <f>VLOOKUP($B296,[2]Complaints!$A$4:$AJ$39,18,)</f>
        <v>0</v>
      </c>
      <c r="F317" s="48">
        <f>VLOOKUP($B296,[3]Complaints!$A$4:$AJ$39,18,)</f>
        <v>0</v>
      </c>
      <c r="G317" s="48">
        <f>VLOOKUP($B296,[4]Complaints!$A$4:$AJ$39,18,)</f>
        <v>0</v>
      </c>
      <c r="H317" s="48">
        <f>VLOOKUP($B296,[5]Complaints!$A$4:$AJ$39,18,)</f>
        <v>0</v>
      </c>
      <c r="I317" s="48">
        <f>VLOOKUP($B296,[6]Complaints!$A$4:$AJ$39,18,)</f>
        <v>0</v>
      </c>
      <c r="J317" s="48">
        <f>VLOOKUP($B296,[7]Complaints!$A$4:$AJ$39,18,)</f>
        <v>0</v>
      </c>
      <c r="K317" s="48">
        <f>VLOOKUP($B296,[8]Complaints!$A$4:$AJ$39,18,)</f>
        <v>0</v>
      </c>
      <c r="L317" s="48">
        <f>VLOOKUP($B296,[9]Complaints!$A$4:$AJ$39,18,)</f>
        <v>0</v>
      </c>
      <c r="M317" s="48">
        <f>VLOOKUP($B296,[10]Complaints!$A$4:$AJ$39,18,)</f>
        <v>0</v>
      </c>
      <c r="N317" s="48">
        <f>VLOOKUP($B296,[11]Complaints!$A$4:$AJ$39,18,)</f>
        <v>0</v>
      </c>
      <c r="O317" s="49">
        <f>VLOOKUP($B296,[12]Complaints!$A$4:$AJ$39,18,)</f>
        <v>0</v>
      </c>
      <c r="P317" s="55">
        <f t="shared" si="83"/>
        <v>0</v>
      </c>
      <c r="Q317" s="50" t="str">
        <f>IF(P317=0,"",P317/$P298)</f>
        <v/>
      </c>
      <c r="R317" s="18"/>
    </row>
    <row r="318" spans="2:18" ht="15.75" customHeight="1" x14ac:dyDescent="0.2">
      <c r="B318" s="169"/>
      <c r="C318" s="31" t="s">
        <v>82</v>
      </c>
      <c r="D318" s="47">
        <f>VLOOKUP($B296,[1]Complaints!$A$4:$AJ$39,19,)</f>
        <v>0</v>
      </c>
      <c r="E318" s="48">
        <f>VLOOKUP($B296,[2]Complaints!$A$4:$AJ$39,19,)</f>
        <v>0</v>
      </c>
      <c r="F318" s="48">
        <f>VLOOKUP($B296,[3]Complaints!$A$4:$AJ$39,19,)</f>
        <v>0</v>
      </c>
      <c r="G318" s="48">
        <f>VLOOKUP($B296,[4]Complaints!$A$4:$AJ$39,19,)</f>
        <v>0</v>
      </c>
      <c r="H318" s="48">
        <f>VLOOKUP($B296,[5]Complaints!$A$4:$AJ$39,19,)</f>
        <v>0</v>
      </c>
      <c r="I318" s="48">
        <f>VLOOKUP($B296,[6]Complaints!$A$4:$AJ$39,19,)</f>
        <v>0</v>
      </c>
      <c r="J318" s="48">
        <f>VLOOKUP($B296,[7]Complaints!$A$4:$AJ$39,19,)</f>
        <v>0</v>
      </c>
      <c r="K318" s="48">
        <f>VLOOKUP($B296,[8]Complaints!$A$4:$AJ$39,19,)</f>
        <v>0</v>
      </c>
      <c r="L318" s="48">
        <f>VLOOKUP($B296,[9]Complaints!$A$4:$AJ$39,19,)</f>
        <v>0</v>
      </c>
      <c r="M318" s="48">
        <f>VLOOKUP($B296,[10]Complaints!$A$4:$AJ$39,19,)</f>
        <v>0</v>
      </c>
      <c r="N318" s="48">
        <f>VLOOKUP($B296,[11]Complaints!$A$4:$AJ$39,19,)</f>
        <v>0</v>
      </c>
      <c r="O318" s="49">
        <f>VLOOKUP($B296,[12]Complaints!$A$4:$AJ$39,19,)</f>
        <v>0</v>
      </c>
      <c r="P318" s="55">
        <f t="shared" si="83"/>
        <v>0</v>
      </c>
      <c r="Q318" s="50" t="str">
        <f>IF(P318=0,"",P318/$P298)</f>
        <v/>
      </c>
      <c r="R318" s="18"/>
    </row>
    <row r="319" spans="2:18" ht="15.75" customHeight="1" thickBot="1" x14ac:dyDescent="0.25">
      <c r="B319" s="170"/>
      <c r="C319" s="31" t="s">
        <v>83</v>
      </c>
      <c r="D319" s="47">
        <f>VLOOKUP($B296,[1]Complaints!$A$4:$AJ$39,20,)</f>
        <v>0</v>
      </c>
      <c r="E319" s="48">
        <f>VLOOKUP($B296,[2]Complaints!$A$4:$AJ$39,20,)</f>
        <v>0</v>
      </c>
      <c r="F319" s="48">
        <f>VLOOKUP($B296,[3]Complaints!$A$4:$AJ$39,20,)</f>
        <v>0</v>
      </c>
      <c r="G319" s="48">
        <f>VLOOKUP($B296,[4]Complaints!$A$4:$AJ$39,20,)</f>
        <v>0</v>
      </c>
      <c r="H319" s="48">
        <f>VLOOKUP($B296,[5]Complaints!$A$4:$AJ$39,20,)</f>
        <v>0</v>
      </c>
      <c r="I319" s="48">
        <f>VLOOKUP($B296,[6]Complaints!$A$4:$AJ$39,20,)</f>
        <v>0</v>
      </c>
      <c r="J319" s="48">
        <f>VLOOKUP($B296,[7]Complaints!$A$4:$AJ$39,20,)</f>
        <v>0</v>
      </c>
      <c r="K319" s="48">
        <f>VLOOKUP($B296,[8]Complaints!$A$4:$AJ$39,20,)</f>
        <v>0</v>
      </c>
      <c r="L319" s="48">
        <f>VLOOKUP($B296,[9]Complaints!$A$4:$AJ$39,20,)</f>
        <v>0</v>
      </c>
      <c r="M319" s="48">
        <f>VLOOKUP($B296,[10]Complaints!$A$4:$AJ$39,20,)</f>
        <v>0</v>
      </c>
      <c r="N319" s="48">
        <f>VLOOKUP($B296,[11]Complaints!$A$4:$AJ$39,20,)</f>
        <v>0</v>
      </c>
      <c r="O319" s="49">
        <f>VLOOKUP($B296,[12]Complaints!$A$4:$AJ$39,20,)</f>
        <v>0</v>
      </c>
      <c r="P319" s="55">
        <f t="shared" si="83"/>
        <v>0</v>
      </c>
      <c r="Q319" s="50" t="str">
        <f>IF(P319=0,"",P319/$P298)</f>
        <v/>
      </c>
      <c r="R319" s="18"/>
    </row>
    <row r="320" spans="2:18" ht="15.75" customHeight="1" x14ac:dyDescent="0.2">
      <c r="B320" s="144" t="s">
        <v>90</v>
      </c>
      <c r="C320" s="37" t="s">
        <v>118</v>
      </c>
      <c r="D320" s="62">
        <f>VLOOKUP($B296,[1]Complaints!$A$4:$AJ$39,21,)</f>
        <v>0</v>
      </c>
      <c r="E320" s="63">
        <f>VLOOKUP($B296,[2]Complaints!$A$4:$AJ$39,21,)</f>
        <v>0</v>
      </c>
      <c r="F320" s="63">
        <f>VLOOKUP($B296,[3]Complaints!$A$4:$AJ$39,21,)</f>
        <v>2</v>
      </c>
      <c r="G320" s="63">
        <f>VLOOKUP($B296,[4]Complaints!$A$4:$AJ$39,21,)</f>
        <v>1</v>
      </c>
      <c r="H320" s="63">
        <f>VLOOKUP($B296,[5]Complaints!$A$4:$AJ$39,21,)</f>
        <v>0</v>
      </c>
      <c r="I320" s="63">
        <f>VLOOKUP($B296,[6]Complaints!$A$4:$AJ$39,21,)</f>
        <v>2</v>
      </c>
      <c r="J320" s="63">
        <f>VLOOKUP($B296,[7]Complaints!$A$4:$AJ$39,21,)</f>
        <v>1</v>
      </c>
      <c r="K320" s="63">
        <f>VLOOKUP($B296,[8]Complaints!$A$4:$AJ$39,21,)</f>
        <v>1</v>
      </c>
      <c r="L320" s="63">
        <f>VLOOKUP($B296,[9]Complaints!$A$4:$AJ$39,21,)</f>
        <v>0</v>
      </c>
      <c r="M320" s="63">
        <f>VLOOKUP($B296,[10]Complaints!$A$4:$AJ$39,21,)</f>
        <v>0</v>
      </c>
      <c r="N320" s="63">
        <f>VLOOKUP($B296,[11]Complaints!$A$4:$AJ$39,21,)</f>
        <v>0</v>
      </c>
      <c r="O320" s="64">
        <f>VLOOKUP($B296,[12]Complaints!$A$4:$AJ$39,21,)</f>
        <v>0</v>
      </c>
      <c r="P320" s="65">
        <f>SUM(D320:O320)</f>
        <v>7</v>
      </c>
      <c r="Q320" s="46">
        <f>IF(P320=0,"",P320/$P304)</f>
        <v>0.63636363636363635</v>
      </c>
      <c r="R320" s="18"/>
    </row>
    <row r="321" spans="1:19" ht="15.75" customHeight="1" x14ac:dyDescent="0.2">
      <c r="B321" s="145"/>
      <c r="C321" s="38" t="s">
        <v>77</v>
      </c>
      <c r="D321" s="66">
        <f>VLOOKUP($B296,[1]Complaints!$A$4:$AJ$39,22,)</f>
        <v>0</v>
      </c>
      <c r="E321" s="67">
        <f>VLOOKUP($B296,[2]Complaints!$A$4:$AJ$39,22,)</f>
        <v>0</v>
      </c>
      <c r="F321" s="67">
        <f>VLOOKUP($B296,[3]Complaints!$A$4:$AJ$39,22,)</f>
        <v>0</v>
      </c>
      <c r="G321" s="67">
        <f>VLOOKUP($B296,[4]Complaints!$A$4:$AJ$39,22,)</f>
        <v>0</v>
      </c>
      <c r="H321" s="67">
        <f>VLOOKUP($B296,[5]Complaints!$A$4:$AJ$39,22,)</f>
        <v>0</v>
      </c>
      <c r="I321" s="67">
        <f>VLOOKUP($B296,[6]Complaints!$A$4:$AJ$39,22,)</f>
        <v>0</v>
      </c>
      <c r="J321" s="67">
        <f>VLOOKUP($B296,[7]Complaints!$A$4:$AJ$39,22,)</f>
        <v>0</v>
      </c>
      <c r="K321" s="67">
        <f>VLOOKUP($B296,[8]Complaints!$A$4:$AJ$39,22,)</f>
        <v>0</v>
      </c>
      <c r="L321" s="67">
        <f>VLOOKUP($B296,[9]Complaints!$A$4:$AJ$39,22,)</f>
        <v>0</v>
      </c>
      <c r="M321" s="67">
        <f>VLOOKUP($B296,[10]Complaints!$A$4:$AJ$39,22,)</f>
        <v>0</v>
      </c>
      <c r="N321" s="67">
        <f>VLOOKUP($B296,[11]Complaints!$A$4:$AJ$39,22,)</f>
        <v>0</v>
      </c>
      <c r="O321" s="68">
        <f>VLOOKUP($B296,[12]Complaints!$A$4:$AJ$39,22,)</f>
        <v>0</v>
      </c>
      <c r="P321" s="69">
        <f t="shared" ref="P321:P335" si="84">SUM(D321:O321)</f>
        <v>0</v>
      </c>
      <c r="Q321" s="70" t="str">
        <f>IF(P321=0,"",P321/$P304)</f>
        <v/>
      </c>
      <c r="R321" s="18"/>
    </row>
    <row r="322" spans="1:19" ht="15.75" customHeight="1" x14ac:dyDescent="0.2">
      <c r="B322" s="145"/>
      <c r="C322" s="38" t="s">
        <v>108</v>
      </c>
      <c r="D322" s="66">
        <f>VLOOKUP($B296,[1]Complaints!$A$4:$AJ$39,23,)</f>
        <v>0</v>
      </c>
      <c r="E322" s="67">
        <f>VLOOKUP($B296,[2]Complaints!$A$4:$AJ$39,23,)</f>
        <v>0</v>
      </c>
      <c r="F322" s="67">
        <f>VLOOKUP($B296,[3]Complaints!$A$4:$AJ$39,23,)</f>
        <v>1</v>
      </c>
      <c r="G322" s="67">
        <f>VLOOKUP($B296,[4]Complaints!$A$4:$AJ$39,23,)</f>
        <v>0</v>
      </c>
      <c r="H322" s="67">
        <f>VLOOKUP($B296,[5]Complaints!$A$4:$AJ$39,23,)</f>
        <v>0</v>
      </c>
      <c r="I322" s="67">
        <f>VLOOKUP($B296,[6]Complaints!$A$4:$AJ$39,23,)</f>
        <v>0</v>
      </c>
      <c r="J322" s="67">
        <f>VLOOKUP($B296,[7]Complaints!$A$4:$AJ$39,23,)</f>
        <v>0</v>
      </c>
      <c r="K322" s="67">
        <f>VLOOKUP($B296,[8]Complaints!$A$4:$AJ$39,23,)</f>
        <v>0</v>
      </c>
      <c r="L322" s="67">
        <f>VLOOKUP($B296,[9]Complaints!$A$4:$AJ$39,23,)</f>
        <v>0</v>
      </c>
      <c r="M322" s="67">
        <f>VLOOKUP($B296,[10]Complaints!$A$4:$AJ$39,23,)</f>
        <v>0</v>
      </c>
      <c r="N322" s="67">
        <f>VLOOKUP($B296,[11]Complaints!$A$4:$AJ$39,23,)</f>
        <v>0</v>
      </c>
      <c r="O322" s="68">
        <f>VLOOKUP($B296,[12]Complaints!$A$4:$AJ$39,23,)</f>
        <v>0</v>
      </c>
      <c r="P322" s="69">
        <f t="shared" si="84"/>
        <v>1</v>
      </c>
      <c r="Q322" s="70">
        <f>IF(P322=0,"",P322/$P304)</f>
        <v>9.0909090909090912E-2</v>
      </c>
      <c r="R322" s="18"/>
    </row>
    <row r="323" spans="1:19" ht="15.75" customHeight="1" x14ac:dyDescent="0.2">
      <c r="B323" s="145"/>
      <c r="C323" s="38" t="s">
        <v>88</v>
      </c>
      <c r="D323" s="66">
        <f>VLOOKUP($B296,[1]Complaints!$A$4:$AJ$39,24,)</f>
        <v>0</v>
      </c>
      <c r="E323" s="67">
        <f>VLOOKUP($B296,[2]Complaints!$A$4:$AJ$39,24,)</f>
        <v>0</v>
      </c>
      <c r="F323" s="67">
        <f>VLOOKUP($B296,[3]Complaints!$A$4:$AJ$39,24,)</f>
        <v>0</v>
      </c>
      <c r="G323" s="67">
        <f>VLOOKUP($B296,[4]Complaints!$A$4:$AJ$39,24,)</f>
        <v>0</v>
      </c>
      <c r="H323" s="67">
        <f>VLOOKUP($B296,[5]Complaints!$A$4:$AJ$39,24,)</f>
        <v>0</v>
      </c>
      <c r="I323" s="67">
        <f>VLOOKUP($B296,[6]Complaints!$A$4:$AJ$39,24,)</f>
        <v>0</v>
      </c>
      <c r="J323" s="67">
        <f>VLOOKUP($B296,[7]Complaints!$A$4:$AJ$39,24,)</f>
        <v>0</v>
      </c>
      <c r="K323" s="67">
        <f>VLOOKUP($B296,[8]Complaints!$A$4:$AJ$39,24,)</f>
        <v>0</v>
      </c>
      <c r="L323" s="67">
        <f>VLOOKUP($B296,[9]Complaints!$A$4:$AJ$39,24,)</f>
        <v>0</v>
      </c>
      <c r="M323" s="67">
        <f>VLOOKUP($B296,[10]Complaints!$A$4:$AJ$39,24,)</f>
        <v>0</v>
      </c>
      <c r="N323" s="67">
        <f>VLOOKUP($B296,[11]Complaints!$A$4:$AJ$39,24,)</f>
        <v>0</v>
      </c>
      <c r="O323" s="68">
        <f>VLOOKUP($B296,[12]Complaints!$A$4:$AJ$39,24,)</f>
        <v>0</v>
      </c>
      <c r="P323" s="69">
        <f t="shared" si="84"/>
        <v>0</v>
      </c>
      <c r="Q323" s="70" t="str">
        <f>IF(P323=0,"",P323/$P304)</f>
        <v/>
      </c>
      <c r="R323" s="18"/>
    </row>
    <row r="324" spans="1:19" ht="15.75" customHeight="1" x14ac:dyDescent="0.2">
      <c r="B324" s="145"/>
      <c r="C324" s="38" t="s">
        <v>109</v>
      </c>
      <c r="D324" s="66">
        <f>VLOOKUP($B296,[1]Complaints!$A$4:$AJ$39,25,)</f>
        <v>0</v>
      </c>
      <c r="E324" s="67">
        <f>VLOOKUP($B296,[2]Complaints!$A$4:$AJ$39,25,)</f>
        <v>0</v>
      </c>
      <c r="F324" s="67">
        <f>VLOOKUP($B296,[3]Complaints!$A$4:$AJ$39,25,)</f>
        <v>0</v>
      </c>
      <c r="G324" s="67">
        <f>VLOOKUP($B296,[4]Complaints!$A$4:$AJ$39,25,)</f>
        <v>0</v>
      </c>
      <c r="H324" s="67">
        <f>VLOOKUP($B296,[5]Complaints!$A$4:$AJ$39,25,)</f>
        <v>0</v>
      </c>
      <c r="I324" s="67">
        <f>VLOOKUP($B296,[6]Complaints!$A$4:$AJ$39,25,)</f>
        <v>1</v>
      </c>
      <c r="J324" s="67">
        <f>VLOOKUP($B296,[7]Complaints!$A$4:$AJ$39,25,)</f>
        <v>0</v>
      </c>
      <c r="K324" s="67">
        <f>VLOOKUP($B296,[8]Complaints!$A$4:$AJ$39,25,)</f>
        <v>0</v>
      </c>
      <c r="L324" s="67">
        <f>VLOOKUP($B296,[9]Complaints!$A$4:$AJ$39,25,)</f>
        <v>0</v>
      </c>
      <c r="M324" s="67">
        <f>VLOOKUP($B296,[10]Complaints!$A$4:$AJ$39,25,)</f>
        <v>0</v>
      </c>
      <c r="N324" s="67">
        <f>VLOOKUP($B296,[11]Complaints!$A$4:$AJ$39,25,)</f>
        <v>0</v>
      </c>
      <c r="O324" s="68">
        <f>VLOOKUP($B296,[12]Complaints!$A$4:$AJ$39,25,)</f>
        <v>0</v>
      </c>
      <c r="P324" s="69">
        <f t="shared" si="84"/>
        <v>1</v>
      </c>
      <c r="Q324" s="70">
        <f>IF(P324=0,"",P324/$P304)</f>
        <v>9.0909090909090912E-2</v>
      </c>
      <c r="R324" s="18"/>
    </row>
    <row r="325" spans="1:19" ht="15.75" customHeight="1" x14ac:dyDescent="0.2">
      <c r="A325" s="21"/>
      <c r="B325" s="145"/>
      <c r="C325" s="38" t="s">
        <v>110</v>
      </c>
      <c r="D325" s="66">
        <f>VLOOKUP($B296,[1]Complaints!$A$4:$AJ$39,26,)</f>
        <v>0</v>
      </c>
      <c r="E325" s="67">
        <f>VLOOKUP($B296,[2]Complaints!$A$4:$AJ$39,26,)</f>
        <v>0</v>
      </c>
      <c r="F325" s="67">
        <f>VLOOKUP($B296,[3]Complaints!$A$4:$AJ$39,26,)</f>
        <v>0</v>
      </c>
      <c r="G325" s="67">
        <f>VLOOKUP($B296,[4]Complaints!$A$4:$AJ$39,26,)</f>
        <v>0</v>
      </c>
      <c r="H325" s="67">
        <f>VLOOKUP($B296,[5]Complaints!$A$4:$AJ$39,26,)</f>
        <v>0</v>
      </c>
      <c r="I325" s="67">
        <f>VLOOKUP($B296,[6]Complaints!$A$4:$AJ$39,26,)</f>
        <v>0</v>
      </c>
      <c r="J325" s="67">
        <f>VLOOKUP($B296,[7]Complaints!$A$4:$AJ$39,26,)</f>
        <v>0</v>
      </c>
      <c r="K325" s="67">
        <f>VLOOKUP($B296,[8]Complaints!$A$4:$AJ$39,26,)</f>
        <v>0</v>
      </c>
      <c r="L325" s="67">
        <f>VLOOKUP($B296,[9]Complaints!$A$4:$AJ$39,26,)</f>
        <v>0</v>
      </c>
      <c r="M325" s="67">
        <f>VLOOKUP($B296,[10]Complaints!$A$4:$AJ$39,26,)</f>
        <v>0</v>
      </c>
      <c r="N325" s="67">
        <f>VLOOKUP($B296,[11]Complaints!$A$4:$AJ$39,26,)</f>
        <v>0</v>
      </c>
      <c r="O325" s="68">
        <f>VLOOKUP($B296,[12]Complaints!$A$4:$AJ$39,26,)</f>
        <v>0</v>
      </c>
      <c r="P325" s="69">
        <f t="shared" si="84"/>
        <v>0</v>
      </c>
      <c r="Q325" s="70" t="str">
        <f>IF(P325=0,"",P325/$P304)</f>
        <v/>
      </c>
      <c r="R325" s="18"/>
    </row>
    <row r="326" spans="1:19" s="21" customFormat="1" ht="15.75" customHeight="1" x14ac:dyDescent="0.2">
      <c r="B326" s="145"/>
      <c r="C326" s="39" t="s">
        <v>107</v>
      </c>
      <c r="D326" s="71">
        <f>VLOOKUP($B296,[1]Complaints!$A$4:$AJ$39,27,)</f>
        <v>0</v>
      </c>
      <c r="E326" s="72">
        <f>VLOOKUP($B296,[2]Complaints!$A$4:$AJ$39,27,)</f>
        <v>0</v>
      </c>
      <c r="F326" s="72">
        <f>VLOOKUP($B296,[3]Complaints!$A$4:$AJ$39,27,)</f>
        <v>0</v>
      </c>
      <c r="G326" s="72">
        <f>VLOOKUP($B296,[4]Complaints!$A$4:$AJ$39,27,)</f>
        <v>0</v>
      </c>
      <c r="H326" s="72">
        <f>VLOOKUP($B296,[5]Complaints!$A$4:$AJ$39,27,)</f>
        <v>0</v>
      </c>
      <c r="I326" s="72">
        <f>VLOOKUP($B296,[6]Complaints!$A$4:$AJ$39,27,)</f>
        <v>1</v>
      </c>
      <c r="J326" s="72">
        <f>VLOOKUP($B296,[7]Complaints!$A$4:$AJ$39,27,)</f>
        <v>1</v>
      </c>
      <c r="K326" s="72">
        <f>VLOOKUP($B296,[8]Complaints!$A$4:$AJ$39,27,)</f>
        <v>1</v>
      </c>
      <c r="L326" s="72">
        <f>VLOOKUP($B296,[9]Complaints!$A$4:$AJ$39,27,)</f>
        <v>0</v>
      </c>
      <c r="M326" s="72">
        <f>VLOOKUP($B296,[10]Complaints!$A$4:$AJ$39,27,)</f>
        <v>0</v>
      </c>
      <c r="N326" s="72">
        <f>VLOOKUP($B296,[11]Complaints!$A$4:$AJ$39,27,)</f>
        <v>0</v>
      </c>
      <c r="O326" s="73">
        <f>VLOOKUP($B296,[12]Complaints!$A$4:$AJ$39,27,)</f>
        <v>0</v>
      </c>
      <c r="P326" s="69">
        <f t="shared" si="84"/>
        <v>3</v>
      </c>
      <c r="Q326" s="70">
        <f>IF(P326=0,"",P326/$P304)</f>
        <v>0.27272727272727271</v>
      </c>
      <c r="S326" s="18"/>
    </row>
    <row r="327" spans="1:19" ht="15.75" customHeight="1" x14ac:dyDescent="0.2">
      <c r="B327" s="145"/>
      <c r="C327" s="39" t="s">
        <v>87</v>
      </c>
      <c r="D327" s="71">
        <f>VLOOKUP($B296,[1]Complaints!$A$4:$AJ$39,28,)</f>
        <v>0</v>
      </c>
      <c r="E327" s="72">
        <f>VLOOKUP($B296,[2]Complaints!$A$4:$AJ$39,28,)</f>
        <v>0</v>
      </c>
      <c r="F327" s="72">
        <f>VLOOKUP($B296,[3]Complaints!$A$4:$AJ$39,28,)</f>
        <v>1</v>
      </c>
      <c r="G327" s="72">
        <f>VLOOKUP($B296,[4]Complaints!$A$4:$AJ$39,28,)</f>
        <v>0</v>
      </c>
      <c r="H327" s="72">
        <f>VLOOKUP($B296,[5]Complaints!$A$4:$AJ$39,28,)</f>
        <v>0</v>
      </c>
      <c r="I327" s="72">
        <f>VLOOKUP($B296,[6]Complaints!$A$4:$AJ$39,28,)</f>
        <v>0</v>
      </c>
      <c r="J327" s="72">
        <f>VLOOKUP($B296,[7]Complaints!$A$4:$AJ$39,28,)</f>
        <v>0</v>
      </c>
      <c r="K327" s="72">
        <f>VLOOKUP($B296,[8]Complaints!$A$4:$AJ$39,28,)</f>
        <v>0</v>
      </c>
      <c r="L327" s="72">
        <f>VLOOKUP($B296,[9]Complaints!$A$4:$AJ$39,28,)</f>
        <v>0</v>
      </c>
      <c r="M327" s="72">
        <f>VLOOKUP($B296,[10]Complaints!$A$4:$AJ$39,28,)</f>
        <v>0</v>
      </c>
      <c r="N327" s="72">
        <f>VLOOKUP($B296,[11]Complaints!$A$4:$AJ$39,28,)</f>
        <v>0</v>
      </c>
      <c r="O327" s="73">
        <f>VLOOKUP($B296,[12]Complaints!$A$4:$AJ$39,28,)</f>
        <v>0</v>
      </c>
      <c r="P327" s="69">
        <f t="shared" si="84"/>
        <v>1</v>
      </c>
      <c r="Q327" s="70">
        <f>IF(P327=0,"",P327/$P304)</f>
        <v>9.0909090909090912E-2</v>
      </c>
      <c r="R327" s="18"/>
    </row>
    <row r="328" spans="1:19" ht="15.75" customHeight="1" x14ac:dyDescent="0.2">
      <c r="B328" s="145"/>
      <c r="C328" s="38" t="s">
        <v>111</v>
      </c>
      <c r="D328" s="66">
        <f>VLOOKUP($B296,[1]Complaints!$A$4:$AJ$39,29,)</f>
        <v>0</v>
      </c>
      <c r="E328" s="67">
        <f>VLOOKUP($B296,[2]Complaints!$A$4:$AJ$39,29,)</f>
        <v>0</v>
      </c>
      <c r="F328" s="67">
        <f>VLOOKUP($B296,[3]Complaints!$A$4:$AJ$39,29,)</f>
        <v>0</v>
      </c>
      <c r="G328" s="67">
        <f>VLOOKUP($B296,[4]Complaints!$A$4:$AJ$39,29,)</f>
        <v>1</v>
      </c>
      <c r="H328" s="67">
        <f>VLOOKUP($B296,[5]Complaints!$A$4:$AJ$39,29,)</f>
        <v>0</v>
      </c>
      <c r="I328" s="67">
        <f>VLOOKUP($B296,[6]Complaints!$A$4:$AJ$39,29,)</f>
        <v>0</v>
      </c>
      <c r="J328" s="67">
        <f>VLOOKUP($B296,[7]Complaints!$A$4:$AJ$39,29,)</f>
        <v>0</v>
      </c>
      <c r="K328" s="67">
        <f>VLOOKUP($B296,[8]Complaints!$A$4:$AJ$39,29,)</f>
        <v>0</v>
      </c>
      <c r="L328" s="67">
        <f>VLOOKUP($B296,[9]Complaints!$A$4:$AJ$39,29,)</f>
        <v>0</v>
      </c>
      <c r="M328" s="67">
        <f>VLOOKUP($B296,[10]Complaints!$A$4:$AJ$39,29,)</f>
        <v>0</v>
      </c>
      <c r="N328" s="67">
        <f>VLOOKUP($B296,[11]Complaints!$A$4:$AJ$39,29,)</f>
        <v>0</v>
      </c>
      <c r="O328" s="68">
        <f>VLOOKUP($B296,[12]Complaints!$A$4:$AJ$39,29,)</f>
        <v>0</v>
      </c>
      <c r="P328" s="69">
        <f t="shared" si="84"/>
        <v>1</v>
      </c>
      <c r="Q328" s="70">
        <f>IF(P328=0,"",P328/$P304)</f>
        <v>9.0909090909090912E-2</v>
      </c>
      <c r="R328" s="18"/>
    </row>
    <row r="329" spans="1:19" ht="15.75" customHeight="1" x14ac:dyDescent="0.2">
      <c r="B329" s="145"/>
      <c r="C329" s="38" t="s">
        <v>112</v>
      </c>
      <c r="D329" s="66">
        <f>VLOOKUP($B296,[1]Complaints!$A$4:$AJ$39,30,)</f>
        <v>0</v>
      </c>
      <c r="E329" s="67">
        <f>VLOOKUP($B296,[2]Complaints!$A$4:$AJ$39,30,)</f>
        <v>0</v>
      </c>
      <c r="F329" s="67">
        <f>VLOOKUP($B296,[3]Complaints!$A$4:$AJ$39,30,)</f>
        <v>0</v>
      </c>
      <c r="G329" s="67">
        <f>VLOOKUP($B296,[4]Complaints!$A$4:$AJ$39,30,)</f>
        <v>0</v>
      </c>
      <c r="H329" s="67">
        <f>VLOOKUP($B296,[5]Complaints!$A$4:$AJ$39,30,)</f>
        <v>0</v>
      </c>
      <c r="I329" s="67">
        <f>VLOOKUP($B296,[6]Complaints!$A$4:$AJ$39,30,)</f>
        <v>0</v>
      </c>
      <c r="J329" s="67">
        <f>VLOOKUP($B296,[7]Complaints!$A$4:$AJ$39,30,)</f>
        <v>0</v>
      </c>
      <c r="K329" s="67">
        <f>VLOOKUP($B296,[8]Complaints!$A$4:$AJ$39,30,)</f>
        <v>0</v>
      </c>
      <c r="L329" s="67">
        <f>VLOOKUP($B296,[9]Complaints!$A$4:$AJ$39,30,)</f>
        <v>0</v>
      </c>
      <c r="M329" s="67">
        <f>VLOOKUP($B296,[10]Complaints!$A$4:$AJ$39,30,)</f>
        <v>0</v>
      </c>
      <c r="N329" s="67">
        <f>VLOOKUP($B296,[11]Complaints!$A$4:$AJ$39,30,)</f>
        <v>0</v>
      </c>
      <c r="O329" s="68">
        <f>VLOOKUP($B296,[12]Complaints!$A$4:$AJ$39,30,)</f>
        <v>0</v>
      </c>
      <c r="P329" s="69">
        <f t="shared" si="84"/>
        <v>0</v>
      </c>
      <c r="Q329" s="70" t="str">
        <f>IF(P329=0,"",P329/$P304)</f>
        <v/>
      </c>
      <c r="R329" s="18"/>
    </row>
    <row r="330" spans="1:19" ht="15.75" customHeight="1" x14ac:dyDescent="0.2">
      <c r="B330" s="146"/>
      <c r="C330" s="40" t="s">
        <v>119</v>
      </c>
      <c r="D330" s="74">
        <f>VLOOKUP($B296,[1]Complaints!$A$4:$AJ$39,31,)</f>
        <v>0</v>
      </c>
      <c r="E330" s="75">
        <f>VLOOKUP($B296,[2]Complaints!$A$4:$AJ$39,31,)</f>
        <v>0</v>
      </c>
      <c r="F330" s="75">
        <f>VLOOKUP($B296,[3]Complaints!$A$4:$AJ$39,31,)</f>
        <v>0</v>
      </c>
      <c r="G330" s="75">
        <f>VLOOKUP($B296,[4]Complaints!$A$4:$AJ$39,31,)</f>
        <v>1</v>
      </c>
      <c r="H330" s="75">
        <f>VLOOKUP($B296,[5]Complaints!$A$4:$AJ$39,31,)</f>
        <v>0</v>
      </c>
      <c r="I330" s="75">
        <f>VLOOKUP($B296,[6]Complaints!$A$4:$AJ$39,31,)</f>
        <v>0</v>
      </c>
      <c r="J330" s="75">
        <f>VLOOKUP($B296,[7]Complaints!$A$4:$AJ$39,31,)</f>
        <v>2</v>
      </c>
      <c r="K330" s="75">
        <f>VLOOKUP($B296,[8]Complaints!$A$4:$AJ$39,31,)</f>
        <v>2</v>
      </c>
      <c r="L330" s="75">
        <f>VLOOKUP($B296,[9]Complaints!$A$4:$AJ$39,31,)</f>
        <v>0</v>
      </c>
      <c r="M330" s="75">
        <f>VLOOKUP($B296,[10]Complaints!$A$4:$AJ$39,31,)</f>
        <v>0</v>
      </c>
      <c r="N330" s="75">
        <f>VLOOKUP($B296,[11]Complaints!$A$4:$AJ$39,31,)</f>
        <v>0</v>
      </c>
      <c r="O330" s="76">
        <f>VLOOKUP($B296,[12]Complaints!$A$4:$AJ$39,31,)</f>
        <v>0</v>
      </c>
      <c r="P330" s="77">
        <f t="shared" si="84"/>
        <v>5</v>
      </c>
      <c r="Q330" s="50">
        <f>IF(P330=0,"",P330/$P304)</f>
        <v>0.45454545454545453</v>
      </c>
      <c r="R330" s="18"/>
    </row>
    <row r="331" spans="1:19" ht="15.75" customHeight="1" x14ac:dyDescent="0.2">
      <c r="B331" s="146"/>
      <c r="C331" s="38" t="s">
        <v>113</v>
      </c>
      <c r="D331" s="66">
        <f>VLOOKUP($B296,[1]Complaints!$A$4:$AJ$39,32,)</f>
        <v>0</v>
      </c>
      <c r="E331" s="67">
        <f>VLOOKUP($B296,[2]Complaints!$A$4:$AJ$39,32,)</f>
        <v>0</v>
      </c>
      <c r="F331" s="67">
        <f>VLOOKUP($B296,[3]Complaints!$A$4:$AJ$39,32,)</f>
        <v>0</v>
      </c>
      <c r="G331" s="67">
        <f>VLOOKUP($B296,[4]Complaints!$A$4:$AJ$39,32,)</f>
        <v>1</v>
      </c>
      <c r="H331" s="67">
        <f>VLOOKUP($B296,[5]Complaints!$A$4:$AJ$39,32,)</f>
        <v>0</v>
      </c>
      <c r="I331" s="67">
        <f>VLOOKUP($B296,[6]Complaints!$A$4:$AJ$39,32,)</f>
        <v>0</v>
      </c>
      <c r="J331" s="67">
        <f>VLOOKUP($B296,[7]Complaints!$A$4:$AJ$39,32,)</f>
        <v>2</v>
      </c>
      <c r="K331" s="67">
        <f>VLOOKUP($B296,[8]Complaints!$A$4:$AJ$39,32,)</f>
        <v>2</v>
      </c>
      <c r="L331" s="67">
        <f>VLOOKUP($B296,[9]Complaints!$A$4:$AJ$39,32,)</f>
        <v>0</v>
      </c>
      <c r="M331" s="67">
        <f>VLOOKUP($B296,[10]Complaints!$A$4:$AJ$39,32,)</f>
        <v>0</v>
      </c>
      <c r="N331" s="67">
        <f>VLOOKUP($B296,[11]Complaints!$A$4:$AJ$39,32,)</f>
        <v>0</v>
      </c>
      <c r="O331" s="68">
        <f>VLOOKUP($B296,[12]Complaints!$A$4:$AJ$39,32,)</f>
        <v>0</v>
      </c>
      <c r="P331" s="69">
        <f t="shared" si="84"/>
        <v>5</v>
      </c>
      <c r="Q331" s="70">
        <f>IF(P331=0,"",P331/$P304)</f>
        <v>0.45454545454545453</v>
      </c>
      <c r="R331" s="18"/>
    </row>
    <row r="332" spans="1:19" ht="15.75" customHeight="1" x14ac:dyDescent="0.2">
      <c r="B332" s="146"/>
      <c r="C332" s="38" t="s">
        <v>114</v>
      </c>
      <c r="D332" s="66">
        <f>VLOOKUP($B296,[1]Complaints!$A$4:$AJ$39,33,)</f>
        <v>0</v>
      </c>
      <c r="E332" s="67">
        <f>VLOOKUP($B296,[2]Complaints!$A$4:$AJ$39,33,)</f>
        <v>0</v>
      </c>
      <c r="F332" s="67">
        <f>VLOOKUP($B296,[3]Complaints!$A$4:$AJ$39,33,)</f>
        <v>0</v>
      </c>
      <c r="G332" s="67">
        <f>VLOOKUP($B296,[4]Complaints!$A$4:$AJ$39,33,)</f>
        <v>0</v>
      </c>
      <c r="H332" s="67">
        <f>VLOOKUP($B296,[5]Complaints!$A$4:$AJ$39,33,)</f>
        <v>0</v>
      </c>
      <c r="I332" s="67">
        <f>VLOOKUP($B296,[6]Complaints!$A$4:$AJ$39,33,)</f>
        <v>0</v>
      </c>
      <c r="J332" s="67">
        <f>VLOOKUP($B296,[7]Complaints!$A$4:$AJ$39,33,)</f>
        <v>0</v>
      </c>
      <c r="K332" s="67">
        <f>VLOOKUP($B296,[8]Complaints!$A$4:$AJ$39,33,)</f>
        <v>0</v>
      </c>
      <c r="L332" s="67">
        <f>VLOOKUP($B296,[9]Complaints!$A$4:$AJ$39,33,)</f>
        <v>0</v>
      </c>
      <c r="M332" s="67">
        <f>VLOOKUP($B296,[10]Complaints!$A$4:$AJ$39,33,)</f>
        <v>0</v>
      </c>
      <c r="N332" s="67">
        <f>VLOOKUP($B296,[11]Complaints!$A$4:$AJ$39,33,)</f>
        <v>0</v>
      </c>
      <c r="O332" s="68">
        <f>VLOOKUP($B296,[12]Complaints!$A$4:$AJ$39,33,)</f>
        <v>0</v>
      </c>
      <c r="P332" s="69">
        <f t="shared" si="84"/>
        <v>0</v>
      </c>
      <c r="Q332" s="70" t="str">
        <f>IF(P332=0,"",P332/$P304)</f>
        <v/>
      </c>
      <c r="R332" s="18"/>
    </row>
    <row r="333" spans="1:19" ht="15.75" customHeight="1" x14ac:dyDescent="0.2">
      <c r="B333" s="146"/>
      <c r="C333" s="38" t="s">
        <v>115</v>
      </c>
      <c r="D333" s="66">
        <f>VLOOKUP($B296,[1]Complaints!$A$4:$AJ$39,34,)</f>
        <v>0</v>
      </c>
      <c r="E333" s="67">
        <f>VLOOKUP($B296,[2]Complaints!$A$4:$AJ$39,34,)</f>
        <v>0</v>
      </c>
      <c r="F333" s="67">
        <f>VLOOKUP($B296,[3]Complaints!$A$4:$AJ$39,34,)</f>
        <v>0</v>
      </c>
      <c r="G333" s="67">
        <f>VLOOKUP($B296,[4]Complaints!$A$4:$AJ$39,34,)</f>
        <v>0</v>
      </c>
      <c r="H333" s="67">
        <f>VLOOKUP($B296,[5]Complaints!$A$4:$AJ$39,34,)</f>
        <v>0</v>
      </c>
      <c r="I333" s="67">
        <f>VLOOKUP($B296,[6]Complaints!$A$4:$AJ$39,34,)</f>
        <v>0</v>
      </c>
      <c r="J333" s="67">
        <f>VLOOKUP($B296,[7]Complaints!$A$4:$AJ$39,34,)</f>
        <v>0</v>
      </c>
      <c r="K333" s="67">
        <f>VLOOKUP($B296,[8]Complaints!$A$4:$AJ$39,34,)</f>
        <v>0</v>
      </c>
      <c r="L333" s="67">
        <f>VLOOKUP($B296,[9]Complaints!$A$4:$AJ$39,34,)</f>
        <v>0</v>
      </c>
      <c r="M333" s="67">
        <f>VLOOKUP($B296,[10]Complaints!$A$4:$AJ$39,34,)</f>
        <v>0</v>
      </c>
      <c r="N333" s="67">
        <f>VLOOKUP($B296,[11]Complaints!$A$4:$AJ$39,34,)</f>
        <v>0</v>
      </c>
      <c r="O333" s="68">
        <f>VLOOKUP($B296,[12]Complaints!$A$4:$AJ$39,34,)</f>
        <v>0</v>
      </c>
      <c r="P333" s="69">
        <f t="shared" si="84"/>
        <v>0</v>
      </c>
      <c r="Q333" s="70" t="str">
        <f>IF(P333=0,"",P333/$P304)</f>
        <v/>
      </c>
      <c r="R333" s="18"/>
    </row>
    <row r="334" spans="1:19" ht="15.75" customHeight="1" x14ac:dyDescent="0.2">
      <c r="B334" s="146"/>
      <c r="C334" s="38" t="s">
        <v>116</v>
      </c>
      <c r="D334" s="66">
        <f>VLOOKUP($B296,[1]Complaints!$A$4:$AJ$39,35,)</f>
        <v>0</v>
      </c>
      <c r="E334" s="67">
        <f>VLOOKUP($B296,[2]Complaints!$A$4:$AJ$39,35,)</f>
        <v>0</v>
      </c>
      <c r="F334" s="67">
        <f>VLOOKUP($B296,[3]Complaints!$A$4:$AJ$39,35,)</f>
        <v>0</v>
      </c>
      <c r="G334" s="67">
        <f>VLOOKUP($B296,[4]Complaints!$A$4:$AJ$39,35,)</f>
        <v>0</v>
      </c>
      <c r="H334" s="67">
        <f>VLOOKUP($B296,[5]Complaints!$A$4:$AJ$39,35,)</f>
        <v>0</v>
      </c>
      <c r="I334" s="67">
        <f>VLOOKUP($B296,[6]Complaints!$A$4:$AJ$39,35,)</f>
        <v>0</v>
      </c>
      <c r="J334" s="67">
        <f>VLOOKUP($B296,[7]Complaints!$A$4:$AJ$39,35,)</f>
        <v>0</v>
      </c>
      <c r="K334" s="67">
        <f>VLOOKUP($B296,[8]Complaints!$A$4:$AJ$39,35,)</f>
        <v>0</v>
      </c>
      <c r="L334" s="67">
        <f>VLOOKUP($B296,[9]Complaints!$A$4:$AJ$39,35,)</f>
        <v>0</v>
      </c>
      <c r="M334" s="67">
        <f>VLOOKUP($B296,[10]Complaints!$A$4:$AJ$39,35,)</f>
        <v>0</v>
      </c>
      <c r="N334" s="67">
        <f>VLOOKUP($B296,[11]Complaints!$A$4:$AJ$39,35,)</f>
        <v>0</v>
      </c>
      <c r="O334" s="68">
        <f>VLOOKUP($B296,[12]Complaints!$A$4:$AJ$39,35,)</f>
        <v>0</v>
      </c>
      <c r="P334" s="69">
        <f t="shared" si="84"/>
        <v>0</v>
      </c>
      <c r="Q334" s="70" t="str">
        <f>IF(P334=0,"",P334/$P304)</f>
        <v/>
      </c>
      <c r="R334" s="18"/>
    </row>
    <row r="335" spans="1:19" ht="15.75" customHeight="1" thickBot="1" x14ac:dyDescent="0.25">
      <c r="B335" s="147"/>
      <c r="C335" s="41" t="s">
        <v>117</v>
      </c>
      <c r="D335" s="78">
        <f>VLOOKUP($B296,[1]Complaints!$A$4:$AJ$39,36,)</f>
        <v>0</v>
      </c>
      <c r="E335" s="79">
        <f>VLOOKUP($B296,[2]Complaints!$A$4:$AJ$39,36,)</f>
        <v>0</v>
      </c>
      <c r="F335" s="79">
        <f>VLOOKUP($B296,[3]Complaints!$A$4:$AJ$39,36,)</f>
        <v>0</v>
      </c>
      <c r="G335" s="79">
        <f>VLOOKUP($B296,[4]Complaints!$A$4:$AJ$39,36,)</f>
        <v>0</v>
      </c>
      <c r="H335" s="79">
        <f>VLOOKUP($B296,[5]Complaints!$A$4:$AJ$39,36,)</f>
        <v>0</v>
      </c>
      <c r="I335" s="79">
        <f>VLOOKUP($B296,[6]Complaints!$A$4:$AJ$39,36,)</f>
        <v>0</v>
      </c>
      <c r="J335" s="79">
        <f>VLOOKUP($B296,[7]Complaints!$A$4:$AJ$39,36,)</f>
        <v>0</v>
      </c>
      <c r="K335" s="79">
        <f>VLOOKUP($B296,[8]Complaints!$A$4:$AJ$39,36,)</f>
        <v>0</v>
      </c>
      <c r="L335" s="79">
        <f>VLOOKUP($B296,[9]Complaints!$A$4:$AJ$39,36,)</f>
        <v>0</v>
      </c>
      <c r="M335" s="79">
        <f>VLOOKUP($B296,[10]Complaints!$A$4:$AJ$39,36,)</f>
        <v>0</v>
      </c>
      <c r="N335" s="79">
        <f>VLOOKUP($B296,[11]Complaints!$A$4:$AJ$39,36,)</f>
        <v>0</v>
      </c>
      <c r="O335" s="80">
        <f>VLOOKUP($B296,[12]Complaints!$A$4:$AJ$39,36,)</f>
        <v>0</v>
      </c>
      <c r="P335" s="81">
        <f t="shared" si="84"/>
        <v>0</v>
      </c>
      <c r="Q335" s="82" t="str">
        <f>IF(P335=0,"",P335/$P304)</f>
        <v/>
      </c>
      <c r="R335" s="18"/>
    </row>
    <row r="336" spans="1:19" ht="15.75" customHeight="1" thickBot="1" x14ac:dyDescent="0.25">
      <c r="F336" s="83"/>
      <c r="G336" s="83"/>
      <c r="H336" s="83"/>
      <c r="I336" s="83"/>
      <c r="J336" s="83"/>
      <c r="K336" s="83"/>
      <c r="L336" s="83"/>
      <c r="M336" s="83"/>
      <c r="N336" s="83"/>
      <c r="O336" s="83"/>
      <c r="P336" s="83"/>
      <c r="Q336" s="83"/>
      <c r="R336" s="18"/>
    </row>
    <row r="337" spans="2:18" ht="15.75" customHeight="1" x14ac:dyDescent="0.25">
      <c r="B337" s="158" t="s">
        <v>19</v>
      </c>
      <c r="C337" s="159"/>
      <c r="D337" s="32" t="s">
        <v>0</v>
      </c>
      <c r="E337" s="20" t="s">
        <v>1</v>
      </c>
      <c r="F337" s="20" t="s">
        <v>2</v>
      </c>
      <c r="G337" s="20" t="s">
        <v>3</v>
      </c>
      <c r="H337" s="20" t="s">
        <v>4</v>
      </c>
      <c r="I337" s="20" t="s">
        <v>5</v>
      </c>
      <c r="J337" s="20" t="s">
        <v>6</v>
      </c>
      <c r="K337" s="20" t="s">
        <v>7</v>
      </c>
      <c r="L337" s="20" t="s">
        <v>8</v>
      </c>
      <c r="M337" s="20" t="s">
        <v>9</v>
      </c>
      <c r="N337" s="20" t="s">
        <v>10</v>
      </c>
      <c r="O337" s="33" t="s">
        <v>11</v>
      </c>
      <c r="P337" s="35" t="s">
        <v>12</v>
      </c>
      <c r="Q337" s="160" t="s">
        <v>104</v>
      </c>
      <c r="R337" s="18"/>
    </row>
    <row r="338" spans="2:18" ht="15.75" customHeight="1" thickBot="1" x14ac:dyDescent="0.3">
      <c r="B338" s="162" t="s">
        <v>66</v>
      </c>
      <c r="C338" s="163"/>
      <c r="D338" s="34">
        <v>2020</v>
      </c>
      <c r="E338" s="34">
        <v>2020</v>
      </c>
      <c r="F338" s="34">
        <v>2020</v>
      </c>
      <c r="G338" s="34">
        <v>2020</v>
      </c>
      <c r="H338" s="34">
        <v>2020</v>
      </c>
      <c r="I338" s="34">
        <v>2020</v>
      </c>
      <c r="J338" s="34">
        <v>2020</v>
      </c>
      <c r="K338" s="34">
        <v>2020</v>
      </c>
      <c r="L338" s="34">
        <v>2020</v>
      </c>
      <c r="M338" s="25">
        <v>2021</v>
      </c>
      <c r="N338" s="25">
        <v>2021</v>
      </c>
      <c r="O338" s="25">
        <v>2021</v>
      </c>
      <c r="P338" s="36" t="s">
        <v>122</v>
      </c>
      <c r="Q338" s="161"/>
      <c r="R338" s="18"/>
    </row>
    <row r="339" spans="2:18" ht="12.75" customHeight="1" thickBot="1" x14ac:dyDescent="0.25">
      <c r="B339" s="164" t="s">
        <v>38</v>
      </c>
      <c r="C339" s="165"/>
      <c r="D339" s="42">
        <f>VLOOKUP($B338,[1]Complaints!$A$4:$AJ$39,2,)</f>
        <v>247</v>
      </c>
      <c r="E339" s="43">
        <f>VLOOKUP($B338,[2]Complaints!$A$4:$AJ$39,2,)</f>
        <v>337</v>
      </c>
      <c r="F339" s="43">
        <f>VLOOKUP($B338,[3]Complaints!$A$4:$AJ$39,2)</f>
        <v>538</v>
      </c>
      <c r="G339" s="43">
        <f>VLOOKUP($B338,[4]Complaints!$A$4:$AJ$39,2)</f>
        <v>769</v>
      </c>
      <c r="H339" s="43">
        <f>VLOOKUP($B338,[5]Complaints!$A$4:$AJ$39,2)</f>
        <v>931</v>
      </c>
      <c r="I339" s="43">
        <f>VLOOKUP($B338,[6]Complaints!$A$4:$AJ$39,2)</f>
        <v>1179</v>
      </c>
      <c r="J339" s="43">
        <f>VLOOKUP($B338,[7]Complaints!$A$4:$AJ$39,2)</f>
        <v>1042</v>
      </c>
      <c r="K339" s="43">
        <f>VLOOKUP($B338,[8]Complaints!$A$4:$AJ$39,2)</f>
        <v>1042</v>
      </c>
      <c r="L339" s="43">
        <f>VLOOKUP($B338,[9]Complaints!$A$4:$AJ$39,2)</f>
        <v>988</v>
      </c>
      <c r="M339" s="43">
        <f>VLOOKUP($B338,[10]Complaints!$A$4:$AJ$39,2)</f>
        <v>707</v>
      </c>
      <c r="N339" s="43">
        <f>VLOOKUP($B338,[11]Complaints!$A$4:$AJ$39,2)</f>
        <v>0</v>
      </c>
      <c r="O339" s="44">
        <f>VLOOKUP($B338,[12]Complaints!$A$4:$AJ$39,2)</f>
        <v>0</v>
      </c>
      <c r="P339" s="45">
        <f>SUM(D339:O339)</f>
        <v>7780</v>
      </c>
      <c r="Q339" s="46"/>
      <c r="R339" s="18"/>
    </row>
    <row r="340" spans="2:18" ht="15.75" customHeight="1" x14ac:dyDescent="0.2">
      <c r="B340" s="166" t="s">
        <v>94</v>
      </c>
      <c r="C340" s="167"/>
      <c r="D340" s="47">
        <f>VLOOKUP($B338,[1]Complaints!$A$4:$AF$39,3,)</f>
        <v>0</v>
      </c>
      <c r="E340" s="48">
        <f>VLOOKUP($B338,[2]Complaints!$A$4:$AF$39,3,)</f>
        <v>0</v>
      </c>
      <c r="F340" s="48">
        <f>VLOOKUP($B338,[3]Complaints!$A$4:$AG$39,3,)</f>
        <v>4</v>
      </c>
      <c r="G340" s="48">
        <f>VLOOKUP($B338,[4]Complaints!$A$4:$AG$39,3,)</f>
        <v>1</v>
      </c>
      <c r="H340" s="48">
        <f>VLOOKUP($B338,[5]Complaints!$A$4:$AG$39,3,)</f>
        <v>2</v>
      </c>
      <c r="I340" s="48">
        <f>VLOOKUP($B338,[6]Complaints!$A$4:$AG$39,3,)</f>
        <v>3</v>
      </c>
      <c r="J340" s="48">
        <f>VLOOKUP($B338,[7]Complaints!$A$4:$AG$39,3,)</f>
        <v>1</v>
      </c>
      <c r="K340" s="48">
        <f>VLOOKUP($B338,[8]Complaints!$A$4:$AG$39,3,)</f>
        <v>1</v>
      </c>
      <c r="L340" s="48">
        <f>VLOOKUP($B338,[9]Complaints!$A$4:$AG$39,3,)</f>
        <v>1</v>
      </c>
      <c r="M340" s="48">
        <f>VLOOKUP($B338,[10]Complaints!$A$4:$AG$39,3,)</f>
        <v>0</v>
      </c>
      <c r="N340" s="48">
        <f>VLOOKUP($B338,[11]Complaints!$A$4:$AG$39,3,)</f>
        <v>0</v>
      </c>
      <c r="O340" s="49">
        <f>VLOOKUP($B338,[12]Complaints!$A$4:$AG$39,3,)</f>
        <v>0</v>
      </c>
      <c r="P340" s="45">
        <f>SUM(D340:O340)</f>
        <v>13</v>
      </c>
      <c r="Q340" s="50"/>
      <c r="R340" s="18"/>
    </row>
    <row r="341" spans="2:18" ht="15.75" customHeight="1" x14ac:dyDescent="0.2">
      <c r="B341" s="26"/>
      <c r="C341" s="28" t="s">
        <v>102</v>
      </c>
      <c r="D341" s="51">
        <f>IF(D339=0,"",D340/D339)</f>
        <v>0</v>
      </c>
      <c r="E341" s="52">
        <f t="shared" ref="E341:O341" si="85">IF(E339=0,"",E340/E339)</f>
        <v>0</v>
      </c>
      <c r="F341" s="52">
        <f t="shared" si="85"/>
        <v>7.4349442379182153E-3</v>
      </c>
      <c r="G341" s="52">
        <f t="shared" si="85"/>
        <v>1.3003901170351106E-3</v>
      </c>
      <c r="H341" s="52">
        <f t="shared" si="85"/>
        <v>2.1482277121374865E-3</v>
      </c>
      <c r="I341" s="52">
        <f t="shared" si="85"/>
        <v>2.5445292620865142E-3</v>
      </c>
      <c r="J341" s="52">
        <f t="shared" si="85"/>
        <v>9.5969289827255275E-4</v>
      </c>
      <c r="K341" s="52">
        <f t="shared" si="85"/>
        <v>9.5969289827255275E-4</v>
      </c>
      <c r="L341" s="52">
        <f t="shared" si="85"/>
        <v>1.0121457489878543E-3</v>
      </c>
      <c r="M341" s="52">
        <f t="shared" si="85"/>
        <v>0</v>
      </c>
      <c r="N341" s="52" t="str">
        <f t="shared" si="85"/>
        <v/>
      </c>
      <c r="O341" s="53" t="str">
        <f t="shared" si="85"/>
        <v/>
      </c>
      <c r="P341" s="54">
        <f>IF(P340="","",P340/P339)</f>
        <v>1.6709511568123393E-3</v>
      </c>
      <c r="Q341" s="50"/>
      <c r="R341" s="18"/>
    </row>
    <row r="342" spans="2:18" s="21" customFormat="1" ht="15.75" customHeight="1" x14ac:dyDescent="0.2">
      <c r="B342" s="155" t="s">
        <v>95</v>
      </c>
      <c r="C342" s="156"/>
      <c r="D342" s="47">
        <f>VLOOKUP($B338,[1]Complaints!$A$4:$AF$39,4,)</f>
        <v>0</v>
      </c>
      <c r="E342" s="48">
        <f>VLOOKUP($B338,[2]Complaints!$A$4:$AF$39,4,)</f>
        <v>0</v>
      </c>
      <c r="F342" s="48">
        <f>VLOOKUP($B338,[3]Complaints!$A$4:$AG$39,4,)</f>
        <v>1</v>
      </c>
      <c r="G342" s="48">
        <f>VLOOKUP($B338,[4]Complaints!$A$4:$AG$39,4,)</f>
        <v>0</v>
      </c>
      <c r="H342" s="48">
        <f>VLOOKUP($B338,[5]Complaints!$A$4:$AG$39,4,)</f>
        <v>0</v>
      </c>
      <c r="I342" s="48">
        <f>VLOOKUP($B338,[6]Complaints!$A$4:$AG$39,4,)</f>
        <v>1</v>
      </c>
      <c r="J342" s="48">
        <f>VLOOKUP($B338,[7]Complaints!$A$4:$AG$39,4,)</f>
        <v>0</v>
      </c>
      <c r="K342" s="48">
        <f>VLOOKUP($B338,[8]Complaints!$A$4:$AG$39,4,)</f>
        <v>0</v>
      </c>
      <c r="L342" s="48">
        <f>VLOOKUP($B338,[9]Complaints!$A$4:$AG$39,4,)</f>
        <v>0</v>
      </c>
      <c r="M342" s="48">
        <f>VLOOKUP($B338,[10]Complaints!$A$4:$AG$39,4,)</f>
        <v>0</v>
      </c>
      <c r="N342" s="48">
        <f>VLOOKUP($B338,[11]Complaints!$A$4:$AG$39,4,)</f>
        <v>0</v>
      </c>
      <c r="O342" s="49">
        <f>VLOOKUP($B338,[12]Complaints!$A$4:$AG$39,4,)</f>
        <v>0</v>
      </c>
      <c r="P342" s="55">
        <f t="shared" ref="P342" si="86">SUM(D342:O342)</f>
        <v>2</v>
      </c>
      <c r="Q342" s="50"/>
    </row>
    <row r="343" spans="2:18" ht="15.75" customHeight="1" x14ac:dyDescent="0.2">
      <c r="B343" s="26"/>
      <c r="C343" s="28" t="s">
        <v>98</v>
      </c>
      <c r="D343" s="51">
        <f>IF(D339=0,"",D342/D339)</f>
        <v>0</v>
      </c>
      <c r="E343" s="52">
        <f t="shared" ref="E343:O343" si="87">IF(E339=0,"",E342/E339)</f>
        <v>0</v>
      </c>
      <c r="F343" s="52">
        <f t="shared" si="87"/>
        <v>1.8587360594795538E-3</v>
      </c>
      <c r="G343" s="52">
        <f t="shared" si="87"/>
        <v>0</v>
      </c>
      <c r="H343" s="52">
        <f t="shared" si="87"/>
        <v>0</v>
      </c>
      <c r="I343" s="52">
        <f t="shared" si="87"/>
        <v>8.4817642069550466E-4</v>
      </c>
      <c r="J343" s="52">
        <f t="shared" si="87"/>
        <v>0</v>
      </c>
      <c r="K343" s="52">
        <f t="shared" si="87"/>
        <v>0</v>
      </c>
      <c r="L343" s="52">
        <f t="shared" si="87"/>
        <v>0</v>
      </c>
      <c r="M343" s="52">
        <f t="shared" si="87"/>
        <v>0</v>
      </c>
      <c r="N343" s="52" t="str">
        <f t="shared" si="87"/>
        <v/>
      </c>
      <c r="O343" s="53" t="str">
        <f t="shared" si="87"/>
        <v/>
      </c>
      <c r="P343" s="54">
        <f>IF(P342="","",P342/P339)</f>
        <v>2.5706940874035988E-4</v>
      </c>
      <c r="Q343" s="50"/>
      <c r="R343" s="18"/>
    </row>
    <row r="344" spans="2:18" ht="15.75" customHeight="1" x14ac:dyDescent="0.2">
      <c r="B344" s="155" t="s">
        <v>96</v>
      </c>
      <c r="C344" s="156"/>
      <c r="D344" s="47">
        <f>VLOOKUP($B338,[1]Complaints!$A$4:$AF$39,5,)</f>
        <v>0</v>
      </c>
      <c r="E344" s="48">
        <f>VLOOKUP($B338,[2]Complaints!$A$4:$AF$39,5,)</f>
        <v>0</v>
      </c>
      <c r="F344" s="48">
        <f>VLOOKUP($B338,[3]Complaints!$A$4:$AG$39,5,)</f>
        <v>3</v>
      </c>
      <c r="G344" s="48">
        <f>VLOOKUP($B338,[4]Complaints!$A$4:$AG$39,5,)</f>
        <v>1</v>
      </c>
      <c r="H344" s="48">
        <f>VLOOKUP($B338,[5]Complaints!$A$4:$AG$39,5,)</f>
        <v>2</v>
      </c>
      <c r="I344" s="48">
        <f>VLOOKUP($B338,[6]Complaints!$A$4:$AG$39,5,)</f>
        <v>2</v>
      </c>
      <c r="J344" s="48">
        <f>VLOOKUP($B338,[7]Complaints!$A$4:$AG$39,5,)</f>
        <v>1</v>
      </c>
      <c r="K344" s="48">
        <f>VLOOKUP($B338,[8]Complaints!$A$4:$AG$39,5,)</f>
        <v>1</v>
      </c>
      <c r="L344" s="48">
        <f>VLOOKUP($B338,[9]Complaints!$A$4:$AG$39,5,)</f>
        <v>1</v>
      </c>
      <c r="M344" s="48">
        <f>VLOOKUP($B338,[10]Complaints!$A$4:$AG$39,5,)</f>
        <v>0</v>
      </c>
      <c r="N344" s="48">
        <f>VLOOKUP($B338,[11]Complaints!$A$4:$AG$39,5,)</f>
        <v>0</v>
      </c>
      <c r="O344" s="49">
        <f>VLOOKUP($B338,[12]Complaints!$A$4:$AG$39,5,)</f>
        <v>0</v>
      </c>
      <c r="P344" s="55">
        <f t="shared" ref="P344" si="88">SUM(D344:O344)</f>
        <v>11</v>
      </c>
      <c r="Q344" s="50"/>
      <c r="R344" s="18"/>
    </row>
    <row r="345" spans="2:18" ht="15.75" customHeight="1" x14ac:dyDescent="0.2">
      <c r="B345" s="26"/>
      <c r="C345" s="28" t="s">
        <v>99</v>
      </c>
      <c r="D345" s="51">
        <f>IF(D339=0,"",D344/D339)</f>
        <v>0</v>
      </c>
      <c r="E345" s="52">
        <f t="shared" ref="E345:O345" si="89">IF(E339=0,"",E344/E339)</f>
        <v>0</v>
      </c>
      <c r="F345" s="52">
        <f t="shared" si="89"/>
        <v>5.5762081784386614E-3</v>
      </c>
      <c r="G345" s="52">
        <f t="shared" si="89"/>
        <v>1.3003901170351106E-3</v>
      </c>
      <c r="H345" s="52">
        <f t="shared" si="89"/>
        <v>2.1482277121374865E-3</v>
      </c>
      <c r="I345" s="52">
        <f t="shared" si="89"/>
        <v>1.6963528413910093E-3</v>
      </c>
      <c r="J345" s="52">
        <f t="shared" si="89"/>
        <v>9.5969289827255275E-4</v>
      </c>
      <c r="K345" s="52">
        <f t="shared" si="89"/>
        <v>9.5969289827255275E-4</v>
      </c>
      <c r="L345" s="52">
        <f t="shared" si="89"/>
        <v>1.0121457489878543E-3</v>
      </c>
      <c r="M345" s="52">
        <f t="shared" si="89"/>
        <v>0</v>
      </c>
      <c r="N345" s="52" t="str">
        <f t="shared" si="89"/>
        <v/>
      </c>
      <c r="O345" s="53" t="str">
        <f t="shared" si="89"/>
        <v/>
      </c>
      <c r="P345" s="54">
        <f>IF(P344="","",P344/P339)</f>
        <v>1.4138817480719794E-3</v>
      </c>
      <c r="Q345" s="50"/>
      <c r="R345" s="18"/>
    </row>
    <row r="346" spans="2:18" ht="15.75" customHeight="1" x14ac:dyDescent="0.2">
      <c r="B346" s="157" t="s">
        <v>97</v>
      </c>
      <c r="C346" s="156"/>
      <c r="D346" s="47">
        <f>VLOOKUP($B338,[1]Complaints!$A$4:$AF$39,6,)</f>
        <v>0</v>
      </c>
      <c r="E346" s="48">
        <f>VLOOKUP($B338,[2]Complaints!$A$4:$AF$39,6,)</f>
        <v>0</v>
      </c>
      <c r="F346" s="48">
        <f>VLOOKUP($B338,[3]Complaints!$A$4:$AG$39,6,)</f>
        <v>3</v>
      </c>
      <c r="G346" s="48">
        <f>VLOOKUP($B338,[4]Complaints!$A$4:$AG$39,6,)</f>
        <v>1</v>
      </c>
      <c r="H346" s="48">
        <f>VLOOKUP($B338,[5]Complaints!$A$4:$AG$39,6,)</f>
        <v>0</v>
      </c>
      <c r="I346" s="48">
        <f>VLOOKUP($B338,[6]Complaints!$A$4:$AG$39,6,)</f>
        <v>1</v>
      </c>
      <c r="J346" s="48">
        <f>VLOOKUP($B338,[7]Complaints!$A$4:$AG$39,6,)</f>
        <v>1</v>
      </c>
      <c r="K346" s="48">
        <f>VLOOKUP($B338,[8]Complaints!$A$4:$AG$39,6,)</f>
        <v>1</v>
      </c>
      <c r="L346" s="48">
        <f>VLOOKUP($B338,[9]Complaints!$A$4:$AG$39,6,)</f>
        <v>1</v>
      </c>
      <c r="M346" s="48">
        <f>VLOOKUP($B338,[10]Complaints!$A$4:$AG$39,6,)</f>
        <v>0</v>
      </c>
      <c r="N346" s="48">
        <f>VLOOKUP($B338,[11]Complaints!$A$4:$AG$39,6,)</f>
        <v>0</v>
      </c>
      <c r="O346" s="49">
        <f>VLOOKUP($B338,[12]Complaints!$A$4:$AG$39,6,)</f>
        <v>0</v>
      </c>
      <c r="P346" s="55">
        <f t="shared" ref="P346" si="90">SUM(D346:O346)</f>
        <v>8</v>
      </c>
      <c r="Q346" s="50"/>
      <c r="R346" s="18"/>
    </row>
    <row r="347" spans="2:18" ht="15.75" customHeight="1" thickBot="1" x14ac:dyDescent="0.25">
      <c r="B347" s="27"/>
      <c r="C347" s="29" t="s">
        <v>100</v>
      </c>
      <c r="D347" s="56" t="str">
        <f>IF(D346=0,"",D346/D344)</f>
        <v/>
      </c>
      <c r="E347" s="57" t="str">
        <f t="shared" ref="E347:H347" si="91">IF(E346=0,"",E346/E344)</f>
        <v/>
      </c>
      <c r="F347" s="57">
        <f t="shared" si="91"/>
        <v>1</v>
      </c>
      <c r="G347" s="57">
        <f t="shared" si="91"/>
        <v>1</v>
      </c>
      <c r="H347" s="57" t="str">
        <f t="shared" si="91"/>
        <v/>
      </c>
      <c r="I347" s="57">
        <f>IF(I346=0,"",I346/I344)</f>
        <v>0.5</v>
      </c>
      <c r="J347" s="57">
        <f t="shared" ref="J347:O347" si="92">IF(J346=0,"",J346/J344)</f>
        <v>1</v>
      </c>
      <c r="K347" s="57">
        <f t="shared" si="92"/>
        <v>1</v>
      </c>
      <c r="L347" s="57">
        <f t="shared" si="92"/>
        <v>1</v>
      </c>
      <c r="M347" s="57" t="str">
        <f t="shared" si="92"/>
        <v/>
      </c>
      <c r="N347" s="57" t="str">
        <f t="shared" si="92"/>
        <v/>
      </c>
      <c r="O347" s="58" t="str">
        <f t="shared" si="92"/>
        <v/>
      </c>
      <c r="P347" s="59">
        <f>IF(P346=0,"",P346/P344)</f>
        <v>0.72727272727272729</v>
      </c>
      <c r="Q347" s="60"/>
      <c r="R347" s="18"/>
    </row>
    <row r="348" spans="2:18" ht="15.75" customHeight="1" x14ac:dyDescent="0.2">
      <c r="B348" s="168" t="s">
        <v>103</v>
      </c>
      <c r="C348" s="30" t="s">
        <v>77</v>
      </c>
      <c r="D348" s="61">
        <f>VLOOKUP($B338,[1]Complaints!$A$4:$AJ$39,7,)</f>
        <v>0</v>
      </c>
      <c r="E348" s="43">
        <f>VLOOKUP($B338,[2]Complaints!$A$4:$AJ$39,7,)</f>
        <v>0</v>
      </c>
      <c r="F348" s="43">
        <f>VLOOKUP($B338,[3]Complaints!$A$4:$AJ$39,7,)</f>
        <v>0</v>
      </c>
      <c r="G348" s="43">
        <f>VLOOKUP($B338,[4]Complaints!$A$4:$AJ$39,7,)</f>
        <v>0</v>
      </c>
      <c r="H348" s="43">
        <f>VLOOKUP($B338,[5]Complaints!$A$4:$AJ$39,7,)</f>
        <v>0</v>
      </c>
      <c r="I348" s="43">
        <f>VLOOKUP($B338,[6]Complaints!$A$4:$AJ$39,7,)</f>
        <v>0</v>
      </c>
      <c r="J348" s="43">
        <f>VLOOKUP($B338,[7]Complaints!$A$4:$AJ$39,7,)</f>
        <v>0</v>
      </c>
      <c r="K348" s="43">
        <f>VLOOKUP($B338,[8]Complaints!$A$4:$AJ$39,7,)</f>
        <v>0</v>
      </c>
      <c r="L348" s="43">
        <f>VLOOKUP($B338,[9]Complaints!$A$4:$AJ$39,7,)</f>
        <v>0</v>
      </c>
      <c r="M348" s="43">
        <f>VLOOKUP($B338,[10]Complaints!$A$4:$AJ$39,7,)</f>
        <v>0</v>
      </c>
      <c r="N348" s="43">
        <f>VLOOKUP($B338,[11]Complaints!$A$4:$AJ$39,7,)</f>
        <v>0</v>
      </c>
      <c r="O348" s="44">
        <f>VLOOKUP($B338,[12]Complaints!$A$4:$AJ$39,7,)</f>
        <v>0</v>
      </c>
      <c r="P348" s="45">
        <f>SUM(D348:O348)</f>
        <v>0</v>
      </c>
      <c r="Q348" s="46" t="str">
        <f>IF(P348=0,"",P348/$P340)</f>
        <v/>
      </c>
      <c r="R348" s="18"/>
    </row>
    <row r="349" spans="2:18" ht="15.75" customHeight="1" x14ac:dyDescent="0.2">
      <c r="B349" s="169"/>
      <c r="C349" s="31" t="s">
        <v>89</v>
      </c>
      <c r="D349" s="47">
        <f>VLOOKUP($B338,[1]Complaints!$A$4:$AJ$39,8,)</f>
        <v>0</v>
      </c>
      <c r="E349" s="48">
        <f>VLOOKUP($B338,[2]Complaints!$A$4:$AJ$39,8,)</f>
        <v>0</v>
      </c>
      <c r="F349" s="48">
        <f>VLOOKUP($B338,[3]Complaints!$A$4:$AJ$39,8,)</f>
        <v>1</v>
      </c>
      <c r="G349" s="48">
        <f>VLOOKUP($B338,[4]Complaints!$A$4:$AJ$39,8,)</f>
        <v>0</v>
      </c>
      <c r="H349" s="48">
        <f>VLOOKUP($B338,[5]Complaints!$A$4:$AJ$39,8,)</f>
        <v>2</v>
      </c>
      <c r="I349" s="48">
        <f>VLOOKUP($B338,[6]Complaints!$A$4:$AJ$39,8,)</f>
        <v>2</v>
      </c>
      <c r="J349" s="48">
        <f>VLOOKUP($B338,[7]Complaints!$A$4:$AJ$39,8,)</f>
        <v>0</v>
      </c>
      <c r="K349" s="48">
        <f>VLOOKUP($B338,[8]Complaints!$A$4:$AJ$39,8,)</f>
        <v>0</v>
      </c>
      <c r="L349" s="48">
        <f>VLOOKUP($B338,[9]Complaints!$A$4:$AJ$39,8,)</f>
        <v>1</v>
      </c>
      <c r="M349" s="48">
        <f>VLOOKUP($B338,[10]Complaints!$A$4:$AJ$39,8,)</f>
        <v>0</v>
      </c>
      <c r="N349" s="48">
        <f>VLOOKUP($B338,[11]Complaints!$A$4:$AJ$39,8,)</f>
        <v>0</v>
      </c>
      <c r="O349" s="49">
        <f>VLOOKUP($B338,[12]Complaints!$A$4:$AJ$39,8,)</f>
        <v>0</v>
      </c>
      <c r="P349" s="55">
        <f t="shared" ref="P349:P350" si="93">SUM(D349:O349)</f>
        <v>6</v>
      </c>
      <c r="Q349" s="50">
        <f>IF(P349="","",P349/$P340)</f>
        <v>0.46153846153846156</v>
      </c>
      <c r="R349" s="18"/>
    </row>
    <row r="350" spans="2:18" ht="15.75" customHeight="1" x14ac:dyDescent="0.2">
      <c r="B350" s="169"/>
      <c r="C350" s="31" t="s">
        <v>88</v>
      </c>
      <c r="D350" s="47">
        <f>VLOOKUP($B338,[1]Complaints!$A$4:$AJ$39,9,)</f>
        <v>0</v>
      </c>
      <c r="E350" s="48">
        <f>VLOOKUP($B338,[2]Complaints!$A$4:$AJ$39,9,)</f>
        <v>0</v>
      </c>
      <c r="F350" s="48">
        <f>VLOOKUP($B338,[3]Complaints!$A$4:$AJ$39,9,)</f>
        <v>0</v>
      </c>
      <c r="G350" s="48">
        <f>VLOOKUP($B338,[4]Complaints!$A$4:$AJ$39,9,)</f>
        <v>0</v>
      </c>
      <c r="H350" s="48">
        <f>VLOOKUP($B338,[5]Complaints!$A$4:$AJ$39,9,)</f>
        <v>0</v>
      </c>
      <c r="I350" s="48">
        <f>VLOOKUP($B338,[6]Complaints!$A$4:$AJ$39,9,)</f>
        <v>1</v>
      </c>
      <c r="J350" s="48">
        <f>VLOOKUP($B338,[7]Complaints!$A$4:$AJ$39,9,)</f>
        <v>0</v>
      </c>
      <c r="K350" s="48">
        <f>VLOOKUP($B338,[8]Complaints!$A$4:$AJ$39,9,)</f>
        <v>0</v>
      </c>
      <c r="L350" s="48">
        <f>VLOOKUP($B338,[9]Complaints!$A$4:$AJ$39,9,)</f>
        <v>0</v>
      </c>
      <c r="M350" s="48">
        <f>VLOOKUP($B338,[10]Complaints!$A$4:$AJ$39,9,)</f>
        <v>0</v>
      </c>
      <c r="N350" s="48">
        <f>VLOOKUP($B338,[11]Complaints!$A$4:$AJ$39,9,)</f>
        <v>0</v>
      </c>
      <c r="O350" s="49">
        <f>VLOOKUP($B338,[12]Complaints!$A$4:$AJ$39,9,)</f>
        <v>0</v>
      </c>
      <c r="P350" s="55">
        <f t="shared" si="93"/>
        <v>1</v>
      </c>
      <c r="Q350" s="50">
        <f>IF(P350=0,"",P350/$P340)</f>
        <v>7.6923076923076927E-2</v>
      </c>
      <c r="R350" s="18"/>
    </row>
    <row r="351" spans="2:18" ht="15.75" customHeight="1" x14ac:dyDescent="0.2">
      <c r="B351" s="169"/>
      <c r="C351" s="31" t="s">
        <v>13</v>
      </c>
      <c r="D351" s="47">
        <f>VLOOKUP($B338,[1]Complaints!$A$4:$AJ$39,10,)</f>
        <v>0</v>
      </c>
      <c r="E351" s="48">
        <f>VLOOKUP($B338,[2]Complaints!$A$4:$AJ$39,10,)</f>
        <v>0</v>
      </c>
      <c r="F351" s="48">
        <f>VLOOKUP($B338,[3]Complaints!$A$4:$AJ$39,10,)</f>
        <v>1</v>
      </c>
      <c r="G351" s="48">
        <f>VLOOKUP($B338,[4]Complaints!$A$4:$AJ$39,10,)</f>
        <v>0</v>
      </c>
      <c r="H351" s="48">
        <f>VLOOKUP($B338,[5]Complaints!$A$4:$AJ$39,10,)</f>
        <v>0</v>
      </c>
      <c r="I351" s="48">
        <f>VLOOKUP($B338,[6]Complaints!$A$4:$AJ$39,10,)</f>
        <v>0</v>
      </c>
      <c r="J351" s="48">
        <f>VLOOKUP($B338,[7]Complaints!$A$4:$AJ$39,10,)</f>
        <v>0</v>
      </c>
      <c r="K351" s="48">
        <f>VLOOKUP($B338,[8]Complaints!$A$4:$AJ$39,10,)</f>
        <v>0</v>
      </c>
      <c r="L351" s="48">
        <f>VLOOKUP($B338,[9]Complaints!$A$4:$AJ$39,10,)</f>
        <v>0</v>
      </c>
      <c r="M351" s="48">
        <f>VLOOKUP($B338,[10]Complaints!$A$4:$AJ$39,10,)</f>
        <v>0</v>
      </c>
      <c r="N351" s="48">
        <f>VLOOKUP($B338,[11]Complaints!$A$4:$AJ$39,10,)</f>
        <v>0</v>
      </c>
      <c r="O351" s="49">
        <f>VLOOKUP($B338,[12]Complaints!$A$4:$AJ$39,10,)</f>
        <v>0</v>
      </c>
      <c r="P351" s="55">
        <f>SUM(D351:O351)</f>
        <v>1</v>
      </c>
      <c r="Q351" s="50">
        <f>IF(P351=0,"",P351/$P340)</f>
        <v>7.6923076923076927E-2</v>
      </c>
      <c r="R351" s="18"/>
    </row>
    <row r="352" spans="2:18" ht="15.75" customHeight="1" x14ac:dyDescent="0.2">
      <c r="B352" s="169"/>
      <c r="C352" s="31" t="s">
        <v>101</v>
      </c>
      <c r="D352" s="47">
        <f>VLOOKUP($B338,[1]Complaints!$A$4:$AJ$39,11,)</f>
        <v>0</v>
      </c>
      <c r="E352" s="48">
        <f>VLOOKUP($B338,[2]Complaints!$A$4:$AJ$39,11,)</f>
        <v>0</v>
      </c>
      <c r="F352" s="48">
        <f>VLOOKUP($B338,[3]Complaints!$A$4:$AJ$39,11,)</f>
        <v>0</v>
      </c>
      <c r="G352" s="48">
        <f>VLOOKUP($B338,[4]Complaints!$A$4:$AJ$39,11,)</f>
        <v>0</v>
      </c>
      <c r="H352" s="48">
        <f>VLOOKUP($B338,[5]Complaints!$A$4:$AJ$39,11,)</f>
        <v>0</v>
      </c>
      <c r="I352" s="48">
        <f>VLOOKUP($B338,[6]Complaints!$A$4:$AJ$39,11,)</f>
        <v>0</v>
      </c>
      <c r="J352" s="48">
        <f>VLOOKUP($B338,[7]Complaints!$A$4:$AJ$39,11,)</f>
        <v>0</v>
      </c>
      <c r="K352" s="48">
        <f>VLOOKUP($B338,[8]Complaints!$A$4:$AJ$39,11,)</f>
        <v>0</v>
      </c>
      <c r="L352" s="48">
        <f>VLOOKUP($B338,[9]Complaints!$A$4:$AJ$39,11,)</f>
        <v>0</v>
      </c>
      <c r="M352" s="48">
        <f>VLOOKUP($B338,[10]Complaints!$A$4:$AJ$39,11,)</f>
        <v>0</v>
      </c>
      <c r="N352" s="48">
        <f>VLOOKUP($B338,[11]Complaints!$A$4:$AJ$39,11,)</f>
        <v>0</v>
      </c>
      <c r="O352" s="49">
        <f>VLOOKUP($B338,[12]Complaints!$A$4:$AJ$39,11,)</f>
        <v>0</v>
      </c>
      <c r="P352" s="55">
        <f t="shared" ref="P352:P361" si="94">SUM(D352:O352)</f>
        <v>0</v>
      </c>
      <c r="Q352" s="50" t="str">
        <f>IF(P352=0,"",P352/$P340)</f>
        <v/>
      </c>
      <c r="R352" s="18"/>
    </row>
    <row r="353" spans="1:19" s="19" customFormat="1" ht="15.75" customHeight="1" x14ac:dyDescent="0.2">
      <c r="B353" s="169"/>
      <c r="C353" s="31" t="s">
        <v>93</v>
      </c>
      <c r="D353" s="47">
        <f>VLOOKUP($B338,[1]Complaints!$A$4:$AJ$39,12,)</f>
        <v>0</v>
      </c>
      <c r="E353" s="48">
        <f>VLOOKUP($B338,[2]Complaints!$A$4:$AJ$39,12,)</f>
        <v>0</v>
      </c>
      <c r="F353" s="48">
        <f>VLOOKUP($B338,[3]Complaints!$A$4:$AJ$39,12,)</f>
        <v>0</v>
      </c>
      <c r="G353" s="48">
        <f>VLOOKUP($B338,[4]Complaints!$A$4:$AJ$39,12,)</f>
        <v>0</v>
      </c>
      <c r="H353" s="48">
        <f>VLOOKUP($B338,[5]Complaints!$A$4:$AJ$39,12,)</f>
        <v>0</v>
      </c>
      <c r="I353" s="48">
        <f>VLOOKUP($B338,[6]Complaints!$A$4:$AJ$39,12,)</f>
        <v>0</v>
      </c>
      <c r="J353" s="48">
        <f>VLOOKUP($B338,[7]Complaints!$A$4:$AJ$39,12,)</f>
        <v>1</v>
      </c>
      <c r="K353" s="48">
        <f>VLOOKUP($B338,[8]Complaints!$A$4:$AJ$39,12,)</f>
        <v>0</v>
      </c>
      <c r="L353" s="48">
        <f>VLOOKUP($B338,[9]Complaints!$A$4:$AJ$39,12,)</f>
        <v>0</v>
      </c>
      <c r="M353" s="48">
        <f>VLOOKUP($B338,[10]Complaints!$A$4:$AJ$39,12,)</f>
        <v>0</v>
      </c>
      <c r="N353" s="48">
        <f>VLOOKUP($B338,[11]Complaints!$A$4:$AJ$39,12,)</f>
        <v>0</v>
      </c>
      <c r="O353" s="49">
        <f>VLOOKUP($B338,[12]Complaints!$A$4:$AJ$39,12,)</f>
        <v>0</v>
      </c>
      <c r="P353" s="55">
        <f t="shared" si="94"/>
        <v>1</v>
      </c>
      <c r="Q353" s="50">
        <f>IF(P353=0,"",P353/$P340)</f>
        <v>7.6923076923076927E-2</v>
      </c>
    </row>
    <row r="354" spans="1:19" ht="15.75" customHeight="1" x14ac:dyDescent="0.2">
      <c r="B354" s="169"/>
      <c r="C354" s="31" t="s">
        <v>78</v>
      </c>
      <c r="D354" s="47">
        <f>VLOOKUP($B338,[1]Complaints!$A$4:$AJ$39,13,)</f>
        <v>0</v>
      </c>
      <c r="E354" s="48">
        <f>VLOOKUP($B338,[2]Complaints!$A$4:$AJ$39,13,)</f>
        <v>0</v>
      </c>
      <c r="F354" s="48">
        <f>VLOOKUP($B338,[3]Complaints!$A$4:$AJ$39,13,)</f>
        <v>0</v>
      </c>
      <c r="G354" s="48">
        <f>VLOOKUP($B338,[4]Complaints!$A$4:$AJ$39,13,)</f>
        <v>1</v>
      </c>
      <c r="H354" s="48">
        <f>VLOOKUP($B338,[5]Complaints!$A$4:$AJ$39,13,)</f>
        <v>0</v>
      </c>
      <c r="I354" s="48">
        <f>VLOOKUP($B338,[6]Complaints!$A$4:$AJ$39,13,)</f>
        <v>0</v>
      </c>
      <c r="J354" s="48">
        <f>VLOOKUP($B338,[7]Complaints!$A$4:$AJ$39,13,)</f>
        <v>0</v>
      </c>
      <c r="K354" s="48">
        <f>VLOOKUP($B338,[8]Complaints!$A$4:$AJ$39,13,)</f>
        <v>0</v>
      </c>
      <c r="L354" s="48">
        <f>VLOOKUP($B338,[9]Complaints!$A$4:$AJ$39,13,)</f>
        <v>0</v>
      </c>
      <c r="M354" s="48">
        <f>VLOOKUP($B338,[10]Complaints!$A$4:$AJ$39,13,)</f>
        <v>0</v>
      </c>
      <c r="N354" s="48">
        <f>VLOOKUP($B338,[11]Complaints!$A$4:$AJ$39,13,)</f>
        <v>0</v>
      </c>
      <c r="O354" s="49">
        <f>VLOOKUP($B338,[12]Complaints!$A$4:$AJ$39,13,)</f>
        <v>0</v>
      </c>
      <c r="P354" s="55">
        <f t="shared" si="94"/>
        <v>1</v>
      </c>
      <c r="Q354" s="50">
        <f>IF(P354=0,"",P354/$P340)</f>
        <v>7.6923076923076927E-2</v>
      </c>
      <c r="R354" s="18"/>
    </row>
    <row r="355" spans="1:19" ht="15.75" customHeight="1" x14ac:dyDescent="0.2">
      <c r="B355" s="169"/>
      <c r="C355" s="31" t="s">
        <v>92</v>
      </c>
      <c r="D355" s="47">
        <f>VLOOKUP($B338,[1]Complaints!$A$4:$AJ$39,14,)</f>
        <v>0</v>
      </c>
      <c r="E355" s="48">
        <f>VLOOKUP($B338,[2]Complaints!$A$4:$AJ$39,14,)</f>
        <v>0</v>
      </c>
      <c r="F355" s="48">
        <f>VLOOKUP($B338,[3]Complaints!$A$4:$AJ$39,14,)</f>
        <v>0</v>
      </c>
      <c r="G355" s="48">
        <f>VLOOKUP($B338,[4]Complaints!$A$4:$AJ$39,14,)</f>
        <v>0</v>
      </c>
      <c r="H355" s="48">
        <f>VLOOKUP($B338,[5]Complaints!$A$4:$AJ$39,14,)</f>
        <v>0</v>
      </c>
      <c r="I355" s="48">
        <f>VLOOKUP($B338,[6]Complaints!$A$4:$AJ$39,14,)</f>
        <v>0</v>
      </c>
      <c r="J355" s="48">
        <f>VLOOKUP($B338,[7]Complaints!$A$4:$AJ$39,14,)</f>
        <v>0</v>
      </c>
      <c r="K355" s="48">
        <f>VLOOKUP($B338,[8]Complaints!$A$4:$AJ$39,14,)</f>
        <v>0</v>
      </c>
      <c r="L355" s="48">
        <f>VLOOKUP($B338,[9]Complaints!$A$4:$AJ$39,14,)</f>
        <v>0</v>
      </c>
      <c r="M355" s="48">
        <f>VLOOKUP($B338,[10]Complaints!$A$4:$AJ$39,14,)</f>
        <v>0</v>
      </c>
      <c r="N355" s="48">
        <f>VLOOKUP($B338,[11]Complaints!$A$4:$AJ$39,14,)</f>
        <v>0</v>
      </c>
      <c r="O355" s="49">
        <f>VLOOKUP($B338,[12]Complaints!$A$4:$AJ$39,14,)</f>
        <v>0</v>
      </c>
      <c r="P355" s="55">
        <f t="shared" si="94"/>
        <v>0</v>
      </c>
      <c r="Q355" s="50" t="str">
        <f>IF(P355=0,"",P355/$P340)</f>
        <v/>
      </c>
      <c r="R355" s="18"/>
    </row>
    <row r="356" spans="1:19" ht="15.75" customHeight="1" x14ac:dyDescent="0.2">
      <c r="B356" s="169"/>
      <c r="C356" s="31" t="s">
        <v>91</v>
      </c>
      <c r="D356" s="47">
        <f>VLOOKUP($B338,[1]Complaints!$A$4:$AJ$39,15,)</f>
        <v>0</v>
      </c>
      <c r="E356" s="48">
        <f>VLOOKUP($B338,[2]Complaints!$A$4:$AJ$39,15,)</f>
        <v>0</v>
      </c>
      <c r="F356" s="48">
        <f>VLOOKUP($B338,[3]Complaints!$A$4:$AJ$39,15,)</f>
        <v>2</v>
      </c>
      <c r="G356" s="48">
        <f>VLOOKUP($B338,[4]Complaints!$A$4:$AJ$39,15,)</f>
        <v>0</v>
      </c>
      <c r="H356" s="48">
        <f>VLOOKUP($B338,[5]Complaints!$A$4:$AJ$39,15,)</f>
        <v>0</v>
      </c>
      <c r="I356" s="48">
        <f>VLOOKUP($B338,[6]Complaints!$A$4:$AJ$39,15,)</f>
        <v>0</v>
      </c>
      <c r="J356" s="48">
        <f>VLOOKUP($B338,[7]Complaints!$A$4:$AJ$39,15,)</f>
        <v>0</v>
      </c>
      <c r="K356" s="48">
        <f>VLOOKUP($B338,[8]Complaints!$A$4:$AJ$39,15,)</f>
        <v>0</v>
      </c>
      <c r="L356" s="48">
        <f>VLOOKUP($B338,[9]Complaints!$A$4:$AJ$39,15,)</f>
        <v>0</v>
      </c>
      <c r="M356" s="48">
        <f>VLOOKUP($B338,[10]Complaints!$A$4:$AJ$39,15,)</f>
        <v>0</v>
      </c>
      <c r="N356" s="48">
        <f>VLOOKUP($B338,[11]Complaints!$A$4:$AJ$39,15,)</f>
        <v>0</v>
      </c>
      <c r="O356" s="49">
        <f>VLOOKUP($B338,[12]Complaints!$A$4:$AJ$39,15,)</f>
        <v>0</v>
      </c>
      <c r="P356" s="55">
        <f t="shared" si="94"/>
        <v>2</v>
      </c>
      <c r="Q356" s="50">
        <f>IF(P356=0,"",P356/$P340)</f>
        <v>0.15384615384615385</v>
      </c>
      <c r="R356" s="18"/>
    </row>
    <row r="357" spans="1:19" ht="15.75" customHeight="1" x14ac:dyDescent="0.2">
      <c r="B357" s="169"/>
      <c r="C357" s="31" t="s">
        <v>79</v>
      </c>
      <c r="D357" s="47">
        <f>VLOOKUP($B338,[1]Complaints!$A$4:$AJ$39,16,)</f>
        <v>0</v>
      </c>
      <c r="E357" s="48">
        <f>VLOOKUP($B338,[2]Complaints!$A$4:$AJ$39,16,)</f>
        <v>0</v>
      </c>
      <c r="F357" s="48">
        <f>VLOOKUP($B338,[3]Complaints!$A$4:$AJ$39,16,)</f>
        <v>0</v>
      </c>
      <c r="G357" s="48">
        <f>VLOOKUP($B338,[4]Complaints!$A$4:$AJ$39,16,)</f>
        <v>0</v>
      </c>
      <c r="H357" s="48">
        <f>VLOOKUP($B338,[5]Complaints!$A$4:$AJ$39,16,)</f>
        <v>0</v>
      </c>
      <c r="I357" s="48">
        <f>VLOOKUP($B338,[6]Complaints!$A$4:$AJ$39,16,)</f>
        <v>0</v>
      </c>
      <c r="J357" s="48">
        <f>VLOOKUP($B338,[7]Complaints!$A$4:$AJ$39,16,)</f>
        <v>0</v>
      </c>
      <c r="K357" s="48">
        <f>VLOOKUP($B338,[8]Complaints!$A$4:$AJ$39,16,)</f>
        <v>0</v>
      </c>
      <c r="L357" s="48">
        <f>VLOOKUP($B338,[9]Complaints!$A$4:$AJ$39,16,)</f>
        <v>0</v>
      </c>
      <c r="M357" s="48">
        <f>VLOOKUP($B338,[10]Complaints!$A$4:$AJ$39,16,)</f>
        <v>0</v>
      </c>
      <c r="N357" s="48">
        <f>VLOOKUP($B338,[11]Complaints!$A$4:$AJ$39,16,)</f>
        <v>0</v>
      </c>
      <c r="O357" s="49">
        <f>VLOOKUP($B338,[12]Complaints!$A$4:$AJ$39,16,)</f>
        <v>0</v>
      </c>
      <c r="P357" s="55">
        <f t="shared" si="94"/>
        <v>0</v>
      </c>
      <c r="Q357" s="50" t="str">
        <f>IF(P357=0,"",P357/$P340)</f>
        <v/>
      </c>
      <c r="R357" s="18"/>
    </row>
    <row r="358" spans="1:19" ht="15.75" customHeight="1" x14ac:dyDescent="0.2">
      <c r="B358" s="169"/>
      <c r="C358" s="31" t="s">
        <v>80</v>
      </c>
      <c r="D358" s="47">
        <f>VLOOKUP($B338,[1]Complaints!$A$4:$AJ$39,17,)</f>
        <v>0</v>
      </c>
      <c r="E358" s="48">
        <f>VLOOKUP($B338,[2]Complaints!$A$4:$AJ$39,17,)</f>
        <v>0</v>
      </c>
      <c r="F358" s="48">
        <f>VLOOKUP($B338,[3]Complaints!$A$4:$AJ$39,17,)</f>
        <v>0</v>
      </c>
      <c r="G358" s="48">
        <f>VLOOKUP($B338,[4]Complaints!$A$4:$AJ$39,17,)</f>
        <v>0</v>
      </c>
      <c r="H358" s="48">
        <f>VLOOKUP($B338,[5]Complaints!$A$4:$AJ$39,17,)</f>
        <v>0</v>
      </c>
      <c r="I358" s="48">
        <f>VLOOKUP($B338,[6]Complaints!$A$4:$AJ$39,17,)</f>
        <v>0</v>
      </c>
      <c r="J358" s="48">
        <f>VLOOKUP($B338,[7]Complaints!$A$4:$AJ$39,17,)</f>
        <v>0</v>
      </c>
      <c r="K358" s="48">
        <f>VLOOKUP($B338,[8]Complaints!$A$4:$AJ$39,17,)</f>
        <v>0</v>
      </c>
      <c r="L358" s="48">
        <f>VLOOKUP($B338,[9]Complaints!$A$4:$AJ$39,17,)</f>
        <v>0</v>
      </c>
      <c r="M358" s="48">
        <f>VLOOKUP($B338,[10]Complaints!$A$4:$AJ$39,17,)</f>
        <v>0</v>
      </c>
      <c r="N358" s="48">
        <f>VLOOKUP($B338,[11]Complaints!$A$4:$AJ$39,17,)</f>
        <v>0</v>
      </c>
      <c r="O358" s="49">
        <f>VLOOKUP($B338,[12]Complaints!$A$4:$AJ$39,17,)</f>
        <v>0</v>
      </c>
      <c r="P358" s="55">
        <f t="shared" si="94"/>
        <v>0</v>
      </c>
      <c r="Q358" s="50" t="str">
        <f>IF(P358=0,"",P358/$P340)</f>
        <v/>
      </c>
      <c r="R358" s="18"/>
    </row>
    <row r="359" spans="1:19" ht="15.75" customHeight="1" x14ac:dyDescent="0.2">
      <c r="B359" s="169"/>
      <c r="C359" s="31" t="s">
        <v>81</v>
      </c>
      <c r="D359" s="47">
        <f>VLOOKUP($B338,[1]Complaints!$A$4:$AJ$39,18,)</f>
        <v>0</v>
      </c>
      <c r="E359" s="48">
        <f>VLOOKUP($B338,[2]Complaints!$A$4:$AJ$39,18,)</f>
        <v>0</v>
      </c>
      <c r="F359" s="48">
        <f>VLOOKUP($B338,[3]Complaints!$A$4:$AJ$39,18,)</f>
        <v>0</v>
      </c>
      <c r="G359" s="48">
        <f>VLOOKUP($B338,[4]Complaints!$A$4:$AJ$39,18,)</f>
        <v>0</v>
      </c>
      <c r="H359" s="48">
        <f>VLOOKUP($B338,[5]Complaints!$A$4:$AJ$39,18,)</f>
        <v>0</v>
      </c>
      <c r="I359" s="48">
        <f>VLOOKUP($B338,[6]Complaints!$A$4:$AJ$39,18,)</f>
        <v>0</v>
      </c>
      <c r="J359" s="48">
        <f>VLOOKUP($B338,[7]Complaints!$A$4:$AJ$39,18,)</f>
        <v>0</v>
      </c>
      <c r="K359" s="48">
        <f>VLOOKUP($B338,[8]Complaints!$A$4:$AJ$39,18,)</f>
        <v>0</v>
      </c>
      <c r="L359" s="48">
        <f>VLOOKUP($B338,[9]Complaints!$A$4:$AJ$39,18,)</f>
        <v>0</v>
      </c>
      <c r="M359" s="48">
        <f>VLOOKUP($B338,[10]Complaints!$A$4:$AJ$39,18,)</f>
        <v>0</v>
      </c>
      <c r="N359" s="48">
        <f>VLOOKUP($B338,[11]Complaints!$A$4:$AJ$39,18,)</f>
        <v>0</v>
      </c>
      <c r="O359" s="49">
        <f>VLOOKUP($B338,[12]Complaints!$A$4:$AJ$39,18,)</f>
        <v>0</v>
      </c>
      <c r="P359" s="55">
        <f t="shared" si="94"/>
        <v>0</v>
      </c>
      <c r="Q359" s="50" t="str">
        <f>IF(P359=0,"",P359/$P340)</f>
        <v/>
      </c>
      <c r="R359" s="18"/>
    </row>
    <row r="360" spans="1:19" ht="15.75" customHeight="1" x14ac:dyDescent="0.2">
      <c r="B360" s="169"/>
      <c r="C360" s="31" t="s">
        <v>82</v>
      </c>
      <c r="D360" s="47">
        <f>VLOOKUP($B338,[1]Complaints!$A$4:$AJ$39,19,)</f>
        <v>0</v>
      </c>
      <c r="E360" s="48">
        <f>VLOOKUP($B338,[2]Complaints!$A$4:$AJ$39,19,)</f>
        <v>0</v>
      </c>
      <c r="F360" s="48">
        <f>VLOOKUP($B338,[3]Complaints!$A$4:$AJ$39,19,)</f>
        <v>0</v>
      </c>
      <c r="G360" s="48">
        <f>VLOOKUP($B338,[4]Complaints!$A$4:$AJ$39,19,)</f>
        <v>0</v>
      </c>
      <c r="H360" s="48">
        <f>VLOOKUP($B338,[5]Complaints!$A$4:$AJ$39,19,)</f>
        <v>0</v>
      </c>
      <c r="I360" s="48">
        <f>VLOOKUP($B338,[6]Complaints!$A$4:$AJ$39,19,)</f>
        <v>0</v>
      </c>
      <c r="J360" s="48">
        <f>VLOOKUP($B338,[7]Complaints!$A$4:$AJ$39,19,)</f>
        <v>0</v>
      </c>
      <c r="K360" s="48">
        <f>VLOOKUP($B338,[8]Complaints!$A$4:$AJ$39,19,)</f>
        <v>0</v>
      </c>
      <c r="L360" s="48">
        <f>VLOOKUP($B338,[9]Complaints!$A$4:$AJ$39,19,)</f>
        <v>0</v>
      </c>
      <c r="M360" s="48">
        <f>VLOOKUP($B338,[10]Complaints!$A$4:$AJ$39,19,)</f>
        <v>0</v>
      </c>
      <c r="N360" s="48">
        <f>VLOOKUP($B338,[11]Complaints!$A$4:$AJ$39,19,)</f>
        <v>0</v>
      </c>
      <c r="O360" s="49">
        <f>VLOOKUP($B338,[12]Complaints!$A$4:$AJ$39,19,)</f>
        <v>0</v>
      </c>
      <c r="P360" s="55">
        <f t="shared" si="94"/>
        <v>0</v>
      </c>
      <c r="Q360" s="50" t="str">
        <f>IF(P360=0,"",P360/$P340)</f>
        <v/>
      </c>
      <c r="R360" s="18"/>
    </row>
    <row r="361" spans="1:19" ht="15.75" customHeight="1" thickBot="1" x14ac:dyDescent="0.25">
      <c r="B361" s="170"/>
      <c r="C361" s="31" t="s">
        <v>83</v>
      </c>
      <c r="D361" s="47">
        <f>VLOOKUP($B338,[1]Complaints!$A$4:$AJ$39,20,)</f>
        <v>0</v>
      </c>
      <c r="E361" s="48">
        <f>VLOOKUP($B338,[2]Complaints!$A$4:$AJ$39,20,)</f>
        <v>0</v>
      </c>
      <c r="F361" s="48">
        <f>VLOOKUP($B338,[3]Complaints!$A$4:$AJ$39,20,)</f>
        <v>0</v>
      </c>
      <c r="G361" s="48">
        <f>VLOOKUP($B338,[4]Complaints!$A$4:$AJ$39,20,)</f>
        <v>0</v>
      </c>
      <c r="H361" s="48">
        <f>VLOOKUP($B338,[5]Complaints!$A$4:$AJ$39,20,)</f>
        <v>0</v>
      </c>
      <c r="I361" s="48">
        <f>VLOOKUP($B338,[6]Complaints!$A$4:$AJ$39,20,)</f>
        <v>0</v>
      </c>
      <c r="J361" s="48">
        <f>VLOOKUP($B338,[7]Complaints!$A$4:$AJ$39,20,)</f>
        <v>0</v>
      </c>
      <c r="K361" s="48">
        <f>VLOOKUP($B338,[8]Complaints!$A$4:$AJ$39,20,)</f>
        <v>0</v>
      </c>
      <c r="L361" s="48">
        <f>VLOOKUP($B338,[9]Complaints!$A$4:$AJ$39,20,)</f>
        <v>0</v>
      </c>
      <c r="M361" s="48">
        <f>VLOOKUP($B338,[10]Complaints!$A$4:$AJ$39,20,)</f>
        <v>0</v>
      </c>
      <c r="N361" s="48">
        <f>VLOOKUP($B338,[11]Complaints!$A$4:$AJ$39,20,)</f>
        <v>0</v>
      </c>
      <c r="O361" s="49">
        <f>VLOOKUP($B338,[12]Complaints!$A$4:$AJ$39,20,)</f>
        <v>0</v>
      </c>
      <c r="P361" s="55">
        <f t="shared" si="94"/>
        <v>0</v>
      </c>
      <c r="Q361" s="50" t="str">
        <f>IF(P361=0,"",P361/$P340)</f>
        <v/>
      </c>
      <c r="R361" s="18"/>
    </row>
    <row r="362" spans="1:19" ht="15.75" customHeight="1" x14ac:dyDescent="0.2">
      <c r="B362" s="144" t="s">
        <v>90</v>
      </c>
      <c r="C362" s="37" t="s">
        <v>118</v>
      </c>
      <c r="D362" s="62">
        <f>VLOOKUP($B338,[1]Complaints!$A$4:$AJ$39,21,)</f>
        <v>0</v>
      </c>
      <c r="E362" s="63">
        <f>VLOOKUP($B338,[2]Complaints!$A$4:$AJ$39,21,)</f>
        <v>0</v>
      </c>
      <c r="F362" s="63">
        <f>VLOOKUP($B338,[3]Complaints!$A$4:$AJ$39,21,)</f>
        <v>1</v>
      </c>
      <c r="G362" s="63">
        <f>VLOOKUP($B338,[4]Complaints!$A$4:$AJ$39,21,)</f>
        <v>1</v>
      </c>
      <c r="H362" s="63">
        <f>VLOOKUP($B338,[5]Complaints!$A$4:$AJ$39,21,)</f>
        <v>0</v>
      </c>
      <c r="I362" s="63">
        <f>VLOOKUP($B338,[6]Complaints!$A$4:$AJ$39,21,)</f>
        <v>1</v>
      </c>
      <c r="J362" s="63">
        <f>VLOOKUP($B338,[7]Complaints!$A$4:$AJ$39,21,)</f>
        <v>1</v>
      </c>
      <c r="K362" s="63">
        <f>VLOOKUP($B338,[8]Complaints!$A$4:$AJ$39,21,)</f>
        <v>1</v>
      </c>
      <c r="L362" s="63">
        <f>VLOOKUP($B338,[9]Complaints!$A$4:$AJ$39,21,)</f>
        <v>1</v>
      </c>
      <c r="M362" s="63">
        <f>VLOOKUP($B338,[10]Complaints!$A$4:$AJ$39,21,)</f>
        <v>0</v>
      </c>
      <c r="N362" s="63">
        <f>VLOOKUP($B338,[11]Complaints!$A$4:$AJ$39,21,)</f>
        <v>0</v>
      </c>
      <c r="O362" s="64">
        <f>VLOOKUP($B338,[12]Complaints!$A$4:$AJ$39,21,)</f>
        <v>0</v>
      </c>
      <c r="P362" s="65">
        <f>SUM(D362:O362)</f>
        <v>6</v>
      </c>
      <c r="Q362" s="46">
        <f>IF(P362=0,"",P362/$P346)</f>
        <v>0.75</v>
      </c>
      <c r="R362" s="18"/>
    </row>
    <row r="363" spans="1:19" ht="15.75" customHeight="1" x14ac:dyDescent="0.2">
      <c r="B363" s="145"/>
      <c r="C363" s="38" t="s">
        <v>77</v>
      </c>
      <c r="D363" s="66">
        <f>VLOOKUP($B338,[1]Complaints!$A$4:$AJ$39,22,)</f>
        <v>0</v>
      </c>
      <c r="E363" s="67">
        <f>VLOOKUP($B338,[2]Complaints!$A$4:$AJ$39,22,)</f>
        <v>0</v>
      </c>
      <c r="F363" s="67">
        <f>VLOOKUP($B338,[3]Complaints!$A$4:$AJ$39,22,)</f>
        <v>0</v>
      </c>
      <c r="G363" s="67">
        <f>VLOOKUP($B338,[4]Complaints!$A$4:$AJ$39,22,)</f>
        <v>0</v>
      </c>
      <c r="H363" s="67">
        <f>VLOOKUP($B338,[5]Complaints!$A$4:$AJ$39,22,)</f>
        <v>0</v>
      </c>
      <c r="I363" s="67">
        <f>VLOOKUP($B338,[6]Complaints!$A$4:$AJ$39,22,)</f>
        <v>0</v>
      </c>
      <c r="J363" s="67">
        <f>VLOOKUP($B338,[7]Complaints!$A$4:$AJ$39,22,)</f>
        <v>1</v>
      </c>
      <c r="K363" s="67">
        <f>VLOOKUP($B338,[8]Complaints!$A$4:$AJ$39,22,)</f>
        <v>1</v>
      </c>
      <c r="L363" s="67">
        <f>VLOOKUP($B338,[9]Complaints!$A$4:$AJ$39,22,)</f>
        <v>0</v>
      </c>
      <c r="M363" s="67">
        <f>VLOOKUP($B338,[10]Complaints!$A$4:$AJ$39,22,)</f>
        <v>0</v>
      </c>
      <c r="N363" s="67">
        <f>VLOOKUP($B338,[11]Complaints!$A$4:$AJ$39,22,)</f>
        <v>0</v>
      </c>
      <c r="O363" s="68">
        <f>VLOOKUP($B338,[12]Complaints!$A$4:$AJ$39,22,)</f>
        <v>0</v>
      </c>
      <c r="P363" s="69">
        <f t="shared" ref="P363:P377" si="95">SUM(D363:O363)</f>
        <v>2</v>
      </c>
      <c r="Q363" s="70">
        <f>IF(P363=0,"",P363/$P346)</f>
        <v>0.25</v>
      </c>
      <c r="R363" s="18"/>
    </row>
    <row r="364" spans="1:19" ht="15.75" customHeight="1" x14ac:dyDescent="0.2">
      <c r="B364" s="145"/>
      <c r="C364" s="38" t="s">
        <v>108</v>
      </c>
      <c r="D364" s="66">
        <f>VLOOKUP($B338,[1]Complaints!$A$4:$AJ$39,23,)</f>
        <v>0</v>
      </c>
      <c r="E364" s="67">
        <f>VLOOKUP($B338,[2]Complaints!$A$4:$AJ$39,23,)</f>
        <v>0</v>
      </c>
      <c r="F364" s="67">
        <f>VLOOKUP($B338,[3]Complaints!$A$4:$AJ$39,23,)</f>
        <v>1</v>
      </c>
      <c r="G364" s="67">
        <f>VLOOKUP($B338,[4]Complaints!$A$4:$AJ$39,23,)</f>
        <v>0</v>
      </c>
      <c r="H364" s="67">
        <f>VLOOKUP($B338,[5]Complaints!$A$4:$AJ$39,23,)</f>
        <v>0</v>
      </c>
      <c r="I364" s="67">
        <f>VLOOKUP($B338,[6]Complaints!$A$4:$AJ$39,23,)</f>
        <v>1</v>
      </c>
      <c r="J364" s="67">
        <f>VLOOKUP($B338,[7]Complaints!$A$4:$AJ$39,23,)</f>
        <v>0</v>
      </c>
      <c r="K364" s="67">
        <f>VLOOKUP($B338,[8]Complaints!$A$4:$AJ$39,23,)</f>
        <v>0</v>
      </c>
      <c r="L364" s="67">
        <f>VLOOKUP($B338,[9]Complaints!$A$4:$AJ$39,23,)</f>
        <v>1</v>
      </c>
      <c r="M364" s="67">
        <f>VLOOKUP($B338,[10]Complaints!$A$4:$AJ$39,23,)</f>
        <v>0</v>
      </c>
      <c r="N364" s="67">
        <f>VLOOKUP($B338,[11]Complaints!$A$4:$AJ$39,23,)</f>
        <v>0</v>
      </c>
      <c r="O364" s="68">
        <f>VLOOKUP($B338,[12]Complaints!$A$4:$AJ$39,23,)</f>
        <v>0</v>
      </c>
      <c r="P364" s="69">
        <f t="shared" si="95"/>
        <v>3</v>
      </c>
      <c r="Q364" s="70">
        <f>IF(P364=0,"",P364/$P346)</f>
        <v>0.375</v>
      </c>
      <c r="R364" s="18"/>
    </row>
    <row r="365" spans="1:19" ht="15.75" customHeight="1" x14ac:dyDescent="0.2">
      <c r="B365" s="145"/>
      <c r="C365" s="38" t="s">
        <v>88</v>
      </c>
      <c r="D365" s="66">
        <f>VLOOKUP($B338,[1]Complaints!$A$4:$AJ$39,24,)</f>
        <v>0</v>
      </c>
      <c r="E365" s="67">
        <f>VLOOKUP($B338,[2]Complaints!$A$4:$AJ$39,24,)</f>
        <v>0</v>
      </c>
      <c r="F365" s="67">
        <f>VLOOKUP($B338,[3]Complaints!$A$4:$AJ$39,24,)</f>
        <v>0</v>
      </c>
      <c r="G365" s="67">
        <f>VLOOKUP($B338,[4]Complaints!$A$4:$AJ$39,24,)</f>
        <v>0</v>
      </c>
      <c r="H365" s="67">
        <f>VLOOKUP($B338,[5]Complaints!$A$4:$AJ$39,24,)</f>
        <v>0</v>
      </c>
      <c r="I365" s="67">
        <f>VLOOKUP($B338,[6]Complaints!$A$4:$AJ$39,24,)</f>
        <v>0</v>
      </c>
      <c r="J365" s="67">
        <f>VLOOKUP($B338,[7]Complaints!$A$4:$AJ$39,24,)</f>
        <v>0</v>
      </c>
      <c r="K365" s="67">
        <f>VLOOKUP($B338,[8]Complaints!$A$4:$AJ$39,24,)</f>
        <v>0</v>
      </c>
      <c r="L365" s="67">
        <f>VLOOKUP($B338,[9]Complaints!$A$4:$AJ$39,24,)</f>
        <v>0</v>
      </c>
      <c r="M365" s="67">
        <f>VLOOKUP($B338,[10]Complaints!$A$4:$AJ$39,24,)</f>
        <v>0</v>
      </c>
      <c r="N365" s="67">
        <f>VLOOKUP($B338,[11]Complaints!$A$4:$AJ$39,24,)</f>
        <v>0</v>
      </c>
      <c r="O365" s="68">
        <f>VLOOKUP($B338,[12]Complaints!$A$4:$AJ$39,24,)</f>
        <v>0</v>
      </c>
      <c r="P365" s="69">
        <f t="shared" si="95"/>
        <v>0</v>
      </c>
      <c r="Q365" s="70" t="str">
        <f>IF(P365=0,"",P365/$P346)</f>
        <v/>
      </c>
      <c r="R365" s="18"/>
    </row>
    <row r="366" spans="1:19" ht="15.75" customHeight="1" x14ac:dyDescent="0.2">
      <c r="B366" s="145"/>
      <c r="C366" s="38" t="s">
        <v>109</v>
      </c>
      <c r="D366" s="66">
        <f>VLOOKUP($B338,[1]Complaints!$A$4:$AJ$39,25,)</f>
        <v>0</v>
      </c>
      <c r="E366" s="67">
        <f>VLOOKUP($B338,[2]Complaints!$A$4:$AJ$39,25,)</f>
        <v>0</v>
      </c>
      <c r="F366" s="67">
        <f>VLOOKUP($B338,[3]Complaints!$A$4:$AJ$39,25,)</f>
        <v>0</v>
      </c>
      <c r="G366" s="67">
        <f>VLOOKUP($B338,[4]Complaints!$A$4:$AJ$39,25,)</f>
        <v>0</v>
      </c>
      <c r="H366" s="67">
        <f>VLOOKUP($B338,[5]Complaints!$A$4:$AJ$39,25,)</f>
        <v>0</v>
      </c>
      <c r="I366" s="67">
        <f>VLOOKUP($B338,[6]Complaints!$A$4:$AJ$39,25,)</f>
        <v>0</v>
      </c>
      <c r="J366" s="67">
        <f>VLOOKUP($B338,[7]Complaints!$A$4:$AJ$39,25,)</f>
        <v>0</v>
      </c>
      <c r="K366" s="67">
        <f>VLOOKUP($B338,[8]Complaints!$A$4:$AJ$39,25,)</f>
        <v>0</v>
      </c>
      <c r="L366" s="67">
        <f>VLOOKUP($B338,[9]Complaints!$A$4:$AJ$39,25,)</f>
        <v>0</v>
      </c>
      <c r="M366" s="67">
        <f>VLOOKUP($B338,[10]Complaints!$A$4:$AJ$39,25,)</f>
        <v>0</v>
      </c>
      <c r="N366" s="67">
        <f>VLOOKUP($B338,[11]Complaints!$A$4:$AJ$39,25,)</f>
        <v>0</v>
      </c>
      <c r="O366" s="68">
        <f>VLOOKUP($B338,[12]Complaints!$A$4:$AJ$39,25,)</f>
        <v>0</v>
      </c>
      <c r="P366" s="69">
        <f t="shared" si="95"/>
        <v>0</v>
      </c>
      <c r="Q366" s="70" t="str">
        <f>IF(P366=0,"",P366/$P346)</f>
        <v/>
      </c>
      <c r="R366" s="18"/>
    </row>
    <row r="367" spans="1:19" ht="15.75" customHeight="1" x14ac:dyDescent="0.2">
      <c r="A367" s="21"/>
      <c r="B367" s="145"/>
      <c r="C367" s="38" t="s">
        <v>110</v>
      </c>
      <c r="D367" s="66">
        <f>VLOOKUP($B338,[1]Complaints!$A$4:$AJ$39,26,)</f>
        <v>0</v>
      </c>
      <c r="E367" s="67">
        <f>VLOOKUP($B338,[2]Complaints!$A$4:$AJ$39,26,)</f>
        <v>0</v>
      </c>
      <c r="F367" s="67">
        <f>VLOOKUP($B338,[3]Complaints!$A$4:$AJ$39,26,)</f>
        <v>0</v>
      </c>
      <c r="G367" s="67">
        <f>VLOOKUP($B338,[4]Complaints!$A$4:$AJ$39,26,)</f>
        <v>0</v>
      </c>
      <c r="H367" s="67">
        <f>VLOOKUP($B338,[5]Complaints!$A$4:$AJ$39,26,)</f>
        <v>0</v>
      </c>
      <c r="I367" s="67">
        <f>VLOOKUP($B338,[6]Complaints!$A$4:$AJ$39,26,)</f>
        <v>0</v>
      </c>
      <c r="J367" s="67">
        <f>VLOOKUP($B338,[7]Complaints!$A$4:$AJ$39,26,)</f>
        <v>0</v>
      </c>
      <c r="K367" s="67">
        <f>VLOOKUP($B338,[8]Complaints!$A$4:$AJ$39,26,)</f>
        <v>0</v>
      </c>
      <c r="L367" s="67">
        <f>VLOOKUP($B338,[9]Complaints!$A$4:$AJ$39,26,)</f>
        <v>0</v>
      </c>
      <c r="M367" s="67">
        <f>VLOOKUP($B338,[10]Complaints!$A$4:$AJ$39,26,)</f>
        <v>0</v>
      </c>
      <c r="N367" s="67">
        <f>VLOOKUP($B338,[11]Complaints!$A$4:$AJ$39,26,)</f>
        <v>0</v>
      </c>
      <c r="O367" s="68">
        <f>VLOOKUP($B338,[12]Complaints!$A$4:$AJ$39,26,)</f>
        <v>0</v>
      </c>
      <c r="P367" s="69">
        <f t="shared" si="95"/>
        <v>0</v>
      </c>
      <c r="Q367" s="70" t="str">
        <f>IF(P367=0,"",P367/$P346)</f>
        <v/>
      </c>
      <c r="R367" s="18"/>
    </row>
    <row r="368" spans="1:19" s="21" customFormat="1" ht="15.75" customHeight="1" x14ac:dyDescent="0.2">
      <c r="B368" s="145"/>
      <c r="C368" s="39" t="s">
        <v>107</v>
      </c>
      <c r="D368" s="71">
        <f>VLOOKUP($B338,[1]Complaints!$A$4:$AJ$39,27,)</f>
        <v>0</v>
      </c>
      <c r="E368" s="72">
        <f>VLOOKUP($B338,[2]Complaints!$A$4:$AJ$39,27,)</f>
        <v>0</v>
      </c>
      <c r="F368" s="72">
        <f>VLOOKUP($B338,[3]Complaints!$A$4:$AJ$39,27,)</f>
        <v>0</v>
      </c>
      <c r="G368" s="72">
        <f>VLOOKUP($B338,[4]Complaints!$A$4:$AJ$39,27,)</f>
        <v>0</v>
      </c>
      <c r="H368" s="72">
        <f>VLOOKUP($B338,[5]Complaints!$A$4:$AJ$39,27,)</f>
        <v>0</v>
      </c>
      <c r="I368" s="72">
        <f>VLOOKUP($B338,[6]Complaints!$A$4:$AJ$39,27,)</f>
        <v>0</v>
      </c>
      <c r="J368" s="72">
        <f>VLOOKUP($B338,[7]Complaints!$A$4:$AJ$39,27,)</f>
        <v>0</v>
      </c>
      <c r="K368" s="72">
        <f>VLOOKUP($B338,[8]Complaints!$A$4:$AJ$39,27,)</f>
        <v>0</v>
      </c>
      <c r="L368" s="72">
        <f>VLOOKUP($B338,[9]Complaints!$A$4:$AJ$39,27,)</f>
        <v>0</v>
      </c>
      <c r="M368" s="72">
        <f>VLOOKUP($B338,[10]Complaints!$A$4:$AJ$39,27,)</f>
        <v>0</v>
      </c>
      <c r="N368" s="72">
        <f>VLOOKUP($B338,[11]Complaints!$A$4:$AJ$39,27,)</f>
        <v>0</v>
      </c>
      <c r="O368" s="73">
        <f>VLOOKUP($B338,[12]Complaints!$A$4:$AJ$39,27,)</f>
        <v>0</v>
      </c>
      <c r="P368" s="69">
        <f t="shared" si="95"/>
        <v>0</v>
      </c>
      <c r="Q368" s="70" t="str">
        <f>IF(P368=0,"",P368/$P346)</f>
        <v/>
      </c>
      <c r="S368" s="18"/>
    </row>
    <row r="369" spans="2:19" ht="15.75" customHeight="1" x14ac:dyDescent="0.2">
      <c r="B369" s="145"/>
      <c r="C369" s="39" t="s">
        <v>87</v>
      </c>
      <c r="D369" s="71">
        <f>VLOOKUP($B338,[1]Complaints!$A$4:$AJ$39,28,)</f>
        <v>0</v>
      </c>
      <c r="E369" s="72">
        <f>VLOOKUP($B338,[2]Complaints!$A$4:$AJ$39,28,)</f>
        <v>0</v>
      </c>
      <c r="F369" s="72">
        <f>VLOOKUP($B338,[3]Complaints!$A$4:$AJ$39,28,)</f>
        <v>0</v>
      </c>
      <c r="G369" s="72">
        <f>VLOOKUP($B338,[4]Complaints!$A$4:$AJ$39,28,)</f>
        <v>0</v>
      </c>
      <c r="H369" s="72">
        <f>VLOOKUP($B338,[5]Complaints!$A$4:$AJ$39,28,)</f>
        <v>0</v>
      </c>
      <c r="I369" s="72">
        <f>VLOOKUP($B338,[6]Complaints!$A$4:$AJ$39,28,)</f>
        <v>0</v>
      </c>
      <c r="J369" s="72">
        <f>VLOOKUP($B338,[7]Complaints!$A$4:$AJ$39,28,)</f>
        <v>0</v>
      </c>
      <c r="K369" s="72">
        <f>VLOOKUP($B338,[8]Complaints!$A$4:$AJ$39,28,)</f>
        <v>0</v>
      </c>
      <c r="L369" s="72">
        <f>VLOOKUP($B338,[9]Complaints!$A$4:$AJ$39,28,)</f>
        <v>0</v>
      </c>
      <c r="M369" s="72">
        <f>VLOOKUP($B338,[10]Complaints!$A$4:$AJ$39,28,)</f>
        <v>0</v>
      </c>
      <c r="N369" s="72">
        <f>VLOOKUP($B338,[11]Complaints!$A$4:$AJ$39,28,)</f>
        <v>0</v>
      </c>
      <c r="O369" s="73">
        <f>VLOOKUP($B338,[12]Complaints!$A$4:$AJ$39,28,)</f>
        <v>0</v>
      </c>
      <c r="P369" s="69">
        <f t="shared" si="95"/>
        <v>0</v>
      </c>
      <c r="Q369" s="70" t="str">
        <f>IF(P369=0,"",P369/$P346)</f>
        <v/>
      </c>
      <c r="R369" s="18"/>
    </row>
    <row r="370" spans="2:19" ht="15.75" customHeight="1" x14ac:dyDescent="0.2">
      <c r="B370" s="145"/>
      <c r="C370" s="38" t="s">
        <v>111</v>
      </c>
      <c r="D370" s="66">
        <f>VLOOKUP($B338,[1]Complaints!$A$4:$AJ$39,29,)</f>
        <v>0</v>
      </c>
      <c r="E370" s="67">
        <f>VLOOKUP($B338,[2]Complaints!$A$4:$AJ$39,29,)</f>
        <v>0</v>
      </c>
      <c r="F370" s="67">
        <f>VLOOKUP($B338,[3]Complaints!$A$4:$AJ$39,29,)</f>
        <v>0</v>
      </c>
      <c r="G370" s="67">
        <f>VLOOKUP($B338,[4]Complaints!$A$4:$AJ$39,29,)</f>
        <v>1</v>
      </c>
      <c r="H370" s="67">
        <f>VLOOKUP($B338,[5]Complaints!$A$4:$AJ$39,29,)</f>
        <v>0</v>
      </c>
      <c r="I370" s="67">
        <f>VLOOKUP($B338,[6]Complaints!$A$4:$AJ$39,29,)</f>
        <v>0</v>
      </c>
      <c r="J370" s="67">
        <f>VLOOKUP($B338,[7]Complaints!$A$4:$AJ$39,29,)</f>
        <v>0</v>
      </c>
      <c r="K370" s="67">
        <f>VLOOKUP($B338,[8]Complaints!$A$4:$AJ$39,29,)</f>
        <v>0</v>
      </c>
      <c r="L370" s="67">
        <f>VLOOKUP($B338,[9]Complaints!$A$4:$AJ$39,29,)</f>
        <v>0</v>
      </c>
      <c r="M370" s="67">
        <f>VLOOKUP($B338,[10]Complaints!$A$4:$AJ$39,29,)</f>
        <v>0</v>
      </c>
      <c r="N370" s="67">
        <f>VLOOKUP($B338,[11]Complaints!$A$4:$AJ$39,29,)</f>
        <v>0</v>
      </c>
      <c r="O370" s="68">
        <f>VLOOKUP($B338,[12]Complaints!$A$4:$AJ$39,29,)</f>
        <v>0</v>
      </c>
      <c r="P370" s="69">
        <f t="shared" si="95"/>
        <v>1</v>
      </c>
      <c r="Q370" s="70">
        <f>IF(P370=0,"",P370/$P346)</f>
        <v>0.125</v>
      </c>
      <c r="R370" s="18"/>
    </row>
    <row r="371" spans="2:19" ht="15.75" customHeight="1" x14ac:dyDescent="0.2">
      <c r="B371" s="145"/>
      <c r="C371" s="38" t="s">
        <v>112</v>
      </c>
      <c r="D371" s="66">
        <f>VLOOKUP($B338,[1]Complaints!$A$4:$AJ$39,30,)</f>
        <v>0</v>
      </c>
      <c r="E371" s="67">
        <f>VLOOKUP($B338,[2]Complaints!$A$4:$AJ$39,30,)</f>
        <v>0</v>
      </c>
      <c r="F371" s="67">
        <f>VLOOKUP($B338,[3]Complaints!$A$4:$AJ$39,30,)</f>
        <v>0</v>
      </c>
      <c r="G371" s="67">
        <f>VLOOKUP($B338,[4]Complaints!$A$4:$AJ$39,30,)</f>
        <v>0</v>
      </c>
      <c r="H371" s="67">
        <f>VLOOKUP($B338,[5]Complaints!$A$4:$AJ$39,30,)</f>
        <v>0</v>
      </c>
      <c r="I371" s="67">
        <f>VLOOKUP($B338,[6]Complaints!$A$4:$AJ$39,30,)</f>
        <v>0</v>
      </c>
      <c r="J371" s="67">
        <f>VLOOKUP($B338,[7]Complaints!$A$4:$AJ$39,30,)</f>
        <v>0</v>
      </c>
      <c r="K371" s="67">
        <f>VLOOKUP($B338,[8]Complaints!$A$4:$AJ$39,30,)</f>
        <v>0</v>
      </c>
      <c r="L371" s="67">
        <f>VLOOKUP($B338,[9]Complaints!$A$4:$AJ$39,30,)</f>
        <v>0</v>
      </c>
      <c r="M371" s="67">
        <f>VLOOKUP($B338,[10]Complaints!$A$4:$AJ$39,30,)</f>
        <v>0</v>
      </c>
      <c r="N371" s="67">
        <f>VLOOKUP($B338,[11]Complaints!$A$4:$AJ$39,30,)</f>
        <v>0</v>
      </c>
      <c r="O371" s="68">
        <f>VLOOKUP($B338,[12]Complaints!$A$4:$AJ$39,30,)</f>
        <v>0</v>
      </c>
      <c r="P371" s="69">
        <f t="shared" si="95"/>
        <v>0</v>
      </c>
      <c r="Q371" s="70" t="str">
        <f>IF(P371=0,"",P371/$P346)</f>
        <v/>
      </c>
      <c r="R371" s="18"/>
    </row>
    <row r="372" spans="2:19" ht="15.75" customHeight="1" x14ac:dyDescent="0.2">
      <c r="B372" s="146"/>
      <c r="C372" s="40" t="s">
        <v>119</v>
      </c>
      <c r="D372" s="74">
        <f>VLOOKUP($B338,[1]Complaints!$A$4:$AJ$39,31,)</f>
        <v>0</v>
      </c>
      <c r="E372" s="75">
        <f>VLOOKUP($B338,[2]Complaints!$A$4:$AJ$39,31,)</f>
        <v>0</v>
      </c>
      <c r="F372" s="75">
        <f>VLOOKUP($B338,[3]Complaints!$A$4:$AJ$39,31,)</f>
        <v>2</v>
      </c>
      <c r="G372" s="75">
        <f>VLOOKUP($B338,[4]Complaints!$A$4:$AJ$39,31,)</f>
        <v>0</v>
      </c>
      <c r="H372" s="75">
        <f>VLOOKUP($B338,[5]Complaints!$A$4:$AJ$39,31,)</f>
        <v>0</v>
      </c>
      <c r="I372" s="75">
        <f>VLOOKUP($B338,[6]Complaints!$A$4:$AJ$39,31,)</f>
        <v>0</v>
      </c>
      <c r="J372" s="75">
        <f>VLOOKUP($B338,[7]Complaints!$A$4:$AJ$39,31,)</f>
        <v>0</v>
      </c>
      <c r="K372" s="75">
        <f>VLOOKUP($B338,[8]Complaints!$A$4:$AJ$39,31,)</f>
        <v>0</v>
      </c>
      <c r="L372" s="75">
        <f>VLOOKUP($B338,[9]Complaints!$A$4:$AJ$39,31,)</f>
        <v>0</v>
      </c>
      <c r="M372" s="75">
        <f>VLOOKUP($B338,[10]Complaints!$A$4:$AJ$39,31,)</f>
        <v>0</v>
      </c>
      <c r="N372" s="75">
        <f>VLOOKUP($B338,[11]Complaints!$A$4:$AJ$39,31,)</f>
        <v>0</v>
      </c>
      <c r="O372" s="76">
        <f>VLOOKUP($B338,[12]Complaints!$A$4:$AJ$39,31,)</f>
        <v>0</v>
      </c>
      <c r="P372" s="77">
        <f t="shared" si="95"/>
        <v>2</v>
      </c>
      <c r="Q372" s="50">
        <f>IF(P372=0,"",P372/$P346)</f>
        <v>0.25</v>
      </c>
      <c r="R372" s="18"/>
    </row>
    <row r="373" spans="2:19" ht="15.75" customHeight="1" x14ac:dyDescent="0.2">
      <c r="B373" s="146"/>
      <c r="C373" s="38" t="s">
        <v>113</v>
      </c>
      <c r="D373" s="66">
        <f>VLOOKUP($B338,[1]Complaints!$A$4:$AJ$39,32,)</f>
        <v>0</v>
      </c>
      <c r="E373" s="67">
        <f>VLOOKUP($B338,[2]Complaints!$A$4:$AJ$39,32,)</f>
        <v>0</v>
      </c>
      <c r="F373" s="67">
        <f>VLOOKUP($B338,[3]Complaints!$A$4:$AJ$39,32,)</f>
        <v>0</v>
      </c>
      <c r="G373" s="67">
        <f>VLOOKUP($B338,[4]Complaints!$A$4:$AJ$39,32,)</f>
        <v>0</v>
      </c>
      <c r="H373" s="67">
        <f>VLOOKUP($B338,[5]Complaints!$A$4:$AJ$39,32,)</f>
        <v>0</v>
      </c>
      <c r="I373" s="67">
        <f>VLOOKUP($B338,[6]Complaints!$A$4:$AJ$39,32,)</f>
        <v>0</v>
      </c>
      <c r="J373" s="67">
        <f>VLOOKUP($B338,[7]Complaints!$A$4:$AJ$39,32,)</f>
        <v>0</v>
      </c>
      <c r="K373" s="67">
        <f>VLOOKUP($B338,[8]Complaints!$A$4:$AJ$39,32,)</f>
        <v>0</v>
      </c>
      <c r="L373" s="67">
        <f>VLOOKUP($B338,[9]Complaints!$A$4:$AJ$39,32,)</f>
        <v>0</v>
      </c>
      <c r="M373" s="67">
        <f>VLOOKUP($B338,[10]Complaints!$A$4:$AJ$39,32,)</f>
        <v>0</v>
      </c>
      <c r="N373" s="67">
        <f>VLOOKUP($B338,[11]Complaints!$A$4:$AJ$39,32,)</f>
        <v>0</v>
      </c>
      <c r="O373" s="68">
        <f>VLOOKUP($B338,[12]Complaints!$A$4:$AJ$39,32,)</f>
        <v>0</v>
      </c>
      <c r="P373" s="69">
        <f t="shared" si="95"/>
        <v>0</v>
      </c>
      <c r="Q373" s="70" t="str">
        <f>IF(P373=0,"",P373/$P346)</f>
        <v/>
      </c>
      <c r="R373" s="18"/>
    </row>
    <row r="374" spans="2:19" ht="15.75" customHeight="1" x14ac:dyDescent="0.2">
      <c r="B374" s="146"/>
      <c r="C374" s="38" t="s">
        <v>114</v>
      </c>
      <c r="D374" s="66">
        <f>VLOOKUP($B338,[1]Complaints!$A$4:$AJ$39,33,)</f>
        <v>0</v>
      </c>
      <c r="E374" s="67">
        <f>VLOOKUP($B338,[2]Complaints!$A$4:$AJ$39,33,)</f>
        <v>0</v>
      </c>
      <c r="F374" s="67">
        <f>VLOOKUP($B338,[3]Complaints!$A$4:$AJ$39,33,)</f>
        <v>0</v>
      </c>
      <c r="G374" s="67">
        <f>VLOOKUP($B338,[4]Complaints!$A$4:$AJ$39,33,)</f>
        <v>0</v>
      </c>
      <c r="H374" s="67">
        <f>VLOOKUP($B338,[5]Complaints!$A$4:$AJ$39,33,)</f>
        <v>0</v>
      </c>
      <c r="I374" s="67">
        <f>VLOOKUP($B338,[6]Complaints!$A$4:$AJ$39,33,)</f>
        <v>0</v>
      </c>
      <c r="J374" s="67">
        <f>VLOOKUP($B338,[7]Complaints!$A$4:$AJ$39,33,)</f>
        <v>0</v>
      </c>
      <c r="K374" s="67">
        <f>VLOOKUP($B338,[8]Complaints!$A$4:$AJ$39,33,)</f>
        <v>0</v>
      </c>
      <c r="L374" s="67">
        <f>VLOOKUP($B338,[9]Complaints!$A$4:$AJ$39,33,)</f>
        <v>0</v>
      </c>
      <c r="M374" s="67">
        <f>VLOOKUP($B338,[10]Complaints!$A$4:$AJ$39,33,)</f>
        <v>0</v>
      </c>
      <c r="N374" s="67">
        <f>VLOOKUP($B338,[11]Complaints!$A$4:$AJ$39,33,)</f>
        <v>0</v>
      </c>
      <c r="O374" s="68">
        <f>VLOOKUP($B338,[12]Complaints!$A$4:$AJ$39,33,)</f>
        <v>0</v>
      </c>
      <c r="P374" s="69">
        <f t="shared" si="95"/>
        <v>0</v>
      </c>
      <c r="Q374" s="70" t="str">
        <f>IF(P374=0,"",P374/$P346)</f>
        <v/>
      </c>
      <c r="R374" s="18"/>
    </row>
    <row r="375" spans="2:19" ht="15.75" customHeight="1" x14ac:dyDescent="0.2">
      <c r="B375" s="146"/>
      <c r="C375" s="38" t="s">
        <v>115</v>
      </c>
      <c r="D375" s="66">
        <f>VLOOKUP($B338,[1]Complaints!$A$4:$AJ$39,34,)</f>
        <v>0</v>
      </c>
      <c r="E375" s="67">
        <f>VLOOKUP($B338,[2]Complaints!$A$4:$AJ$39,34,)</f>
        <v>0</v>
      </c>
      <c r="F375" s="67">
        <f>VLOOKUP($B338,[3]Complaints!$A$4:$AJ$39,34,)</f>
        <v>0</v>
      </c>
      <c r="G375" s="67">
        <f>VLOOKUP($B338,[4]Complaints!$A$4:$AJ$39,34,)</f>
        <v>0</v>
      </c>
      <c r="H375" s="67">
        <f>VLOOKUP($B338,[5]Complaints!$A$4:$AJ$39,34,)</f>
        <v>0</v>
      </c>
      <c r="I375" s="67">
        <f>VLOOKUP($B338,[6]Complaints!$A$4:$AJ$39,34,)</f>
        <v>0</v>
      </c>
      <c r="J375" s="67">
        <f>VLOOKUP($B338,[7]Complaints!$A$4:$AJ$39,34,)</f>
        <v>0</v>
      </c>
      <c r="K375" s="67">
        <f>VLOOKUP($B338,[8]Complaints!$A$4:$AJ$39,34,)</f>
        <v>0</v>
      </c>
      <c r="L375" s="67">
        <f>VLOOKUP($B338,[9]Complaints!$A$4:$AJ$39,34,)</f>
        <v>0</v>
      </c>
      <c r="M375" s="67">
        <f>VLOOKUP($B338,[10]Complaints!$A$4:$AJ$39,34,)</f>
        <v>0</v>
      </c>
      <c r="N375" s="67">
        <f>VLOOKUP($B338,[11]Complaints!$A$4:$AJ$39,34,)</f>
        <v>0</v>
      </c>
      <c r="O375" s="68">
        <f>VLOOKUP($B338,[12]Complaints!$A$4:$AJ$39,34,)</f>
        <v>0</v>
      </c>
      <c r="P375" s="69">
        <f t="shared" si="95"/>
        <v>0</v>
      </c>
      <c r="Q375" s="70" t="str">
        <f>IF(P375=0,"",P375/$P346)</f>
        <v/>
      </c>
      <c r="R375" s="18"/>
    </row>
    <row r="376" spans="2:19" ht="15.75" customHeight="1" x14ac:dyDescent="0.2">
      <c r="B376" s="146"/>
      <c r="C376" s="38" t="s">
        <v>116</v>
      </c>
      <c r="D376" s="66">
        <f>VLOOKUP($B338,[1]Complaints!$A$4:$AJ$39,35,)</f>
        <v>0</v>
      </c>
      <c r="E376" s="67">
        <f>VLOOKUP($B338,[2]Complaints!$A$4:$AJ$39,35,)</f>
        <v>0</v>
      </c>
      <c r="F376" s="67">
        <f>VLOOKUP($B338,[3]Complaints!$A$4:$AJ$39,35,)</f>
        <v>2</v>
      </c>
      <c r="G376" s="67">
        <f>VLOOKUP($B338,[4]Complaints!$A$4:$AJ$39,35,)</f>
        <v>0</v>
      </c>
      <c r="H376" s="67">
        <f>VLOOKUP($B338,[5]Complaints!$A$4:$AJ$39,35,)</f>
        <v>0</v>
      </c>
      <c r="I376" s="67">
        <f>VLOOKUP($B338,[6]Complaints!$A$4:$AJ$39,35,)</f>
        <v>0</v>
      </c>
      <c r="J376" s="67">
        <f>VLOOKUP($B338,[7]Complaints!$A$4:$AJ$39,35,)</f>
        <v>0</v>
      </c>
      <c r="K376" s="67">
        <f>VLOOKUP($B338,[8]Complaints!$A$4:$AJ$39,35,)</f>
        <v>0</v>
      </c>
      <c r="L376" s="67">
        <f>VLOOKUP($B338,[9]Complaints!$A$4:$AJ$39,35,)</f>
        <v>0</v>
      </c>
      <c r="M376" s="67">
        <f>VLOOKUP($B338,[10]Complaints!$A$4:$AJ$39,35,)</f>
        <v>0</v>
      </c>
      <c r="N376" s="67">
        <f>VLOOKUP($B338,[11]Complaints!$A$4:$AJ$39,35,)</f>
        <v>0</v>
      </c>
      <c r="O376" s="68">
        <f>VLOOKUP($B338,[12]Complaints!$A$4:$AJ$39,35,)</f>
        <v>0</v>
      </c>
      <c r="P376" s="69">
        <f t="shared" si="95"/>
        <v>2</v>
      </c>
      <c r="Q376" s="70">
        <f>IF(P376=0,"",P376/$P346)</f>
        <v>0.25</v>
      </c>
      <c r="R376" s="18"/>
    </row>
    <row r="377" spans="2:19" ht="15.75" customHeight="1" thickBot="1" x14ac:dyDescent="0.25">
      <c r="B377" s="147"/>
      <c r="C377" s="41" t="s">
        <v>117</v>
      </c>
      <c r="D377" s="78">
        <f>VLOOKUP($B338,[1]Complaints!$A$4:$AJ$39,36,)</f>
        <v>0</v>
      </c>
      <c r="E377" s="79">
        <f>VLOOKUP($B338,[2]Complaints!$A$4:$AJ$39,36,)</f>
        <v>0</v>
      </c>
      <c r="F377" s="79">
        <f>VLOOKUP($B338,[3]Complaints!$A$4:$AJ$39,36,)</f>
        <v>0</v>
      </c>
      <c r="G377" s="79">
        <f>VLOOKUP($B338,[4]Complaints!$A$4:$AJ$39,36,)</f>
        <v>0</v>
      </c>
      <c r="H377" s="79">
        <f>VLOOKUP($B338,[5]Complaints!$A$4:$AJ$39,36,)</f>
        <v>0</v>
      </c>
      <c r="I377" s="79">
        <f>VLOOKUP($B338,[6]Complaints!$A$4:$AJ$39,36,)</f>
        <v>0</v>
      </c>
      <c r="J377" s="79">
        <f>VLOOKUP($B338,[7]Complaints!$A$4:$AJ$39,36,)</f>
        <v>0</v>
      </c>
      <c r="K377" s="79">
        <f>VLOOKUP($B338,[8]Complaints!$A$4:$AJ$39,36,)</f>
        <v>0</v>
      </c>
      <c r="L377" s="79">
        <f>VLOOKUP($B338,[9]Complaints!$A$4:$AJ$39,36,)</f>
        <v>0</v>
      </c>
      <c r="M377" s="79">
        <f>VLOOKUP($B338,[10]Complaints!$A$4:$AJ$39,36,)</f>
        <v>0</v>
      </c>
      <c r="N377" s="79">
        <f>VLOOKUP($B338,[11]Complaints!$A$4:$AJ$39,36,)</f>
        <v>0</v>
      </c>
      <c r="O377" s="80">
        <f>VLOOKUP($B338,[12]Complaints!$A$4:$AJ$39,36,)</f>
        <v>0</v>
      </c>
      <c r="P377" s="81">
        <f t="shared" si="95"/>
        <v>0</v>
      </c>
      <c r="Q377" s="82" t="str">
        <f>IF(P377=0,"",P377/$P346)</f>
        <v/>
      </c>
      <c r="R377" s="18"/>
    </row>
    <row r="378" spans="2:19" ht="12.75" thickBot="1" x14ac:dyDescent="0.25">
      <c r="C378" s="19"/>
      <c r="R378" s="18"/>
    </row>
    <row r="379" spans="2:19" x14ac:dyDescent="0.25">
      <c r="B379" s="158" t="s">
        <v>20</v>
      </c>
      <c r="C379" s="159"/>
      <c r="D379" s="32" t="s">
        <v>0</v>
      </c>
      <c r="E379" s="20" t="s">
        <v>1</v>
      </c>
      <c r="F379" s="20" t="s">
        <v>2</v>
      </c>
      <c r="G379" s="20" t="s">
        <v>3</v>
      </c>
      <c r="H379" s="20" t="s">
        <v>4</v>
      </c>
      <c r="I379" s="20" t="s">
        <v>5</v>
      </c>
      <c r="J379" s="20" t="s">
        <v>6</v>
      </c>
      <c r="K379" s="20" t="s">
        <v>7</v>
      </c>
      <c r="L379" s="20" t="s">
        <v>8</v>
      </c>
      <c r="M379" s="20" t="s">
        <v>9</v>
      </c>
      <c r="N379" s="20" t="s">
        <v>10</v>
      </c>
      <c r="O379" s="33" t="s">
        <v>11</v>
      </c>
      <c r="P379" s="35" t="s">
        <v>12</v>
      </c>
      <c r="Q379" s="160" t="s">
        <v>104</v>
      </c>
      <c r="R379" s="18"/>
      <c r="S379" s="21"/>
    </row>
    <row r="380" spans="2:19" s="19" customFormat="1" ht="15.75" customHeight="1" thickBot="1" x14ac:dyDescent="0.3">
      <c r="B380" s="162" t="s">
        <v>65</v>
      </c>
      <c r="C380" s="163"/>
      <c r="D380" s="34">
        <v>2020</v>
      </c>
      <c r="E380" s="34">
        <v>2020</v>
      </c>
      <c r="F380" s="34">
        <v>2020</v>
      </c>
      <c r="G380" s="34">
        <v>2020</v>
      </c>
      <c r="H380" s="34">
        <v>2020</v>
      </c>
      <c r="I380" s="34">
        <v>2020</v>
      </c>
      <c r="J380" s="34">
        <v>2020</v>
      </c>
      <c r="K380" s="34">
        <v>2020</v>
      </c>
      <c r="L380" s="34">
        <v>2020</v>
      </c>
      <c r="M380" s="25">
        <v>2021</v>
      </c>
      <c r="N380" s="25">
        <v>2021</v>
      </c>
      <c r="O380" s="25">
        <v>2021</v>
      </c>
      <c r="P380" s="36" t="s">
        <v>122</v>
      </c>
      <c r="Q380" s="161"/>
      <c r="S380" s="18"/>
    </row>
    <row r="381" spans="2:19" ht="12.75" customHeight="1" thickBot="1" x14ac:dyDescent="0.25">
      <c r="B381" s="164" t="s">
        <v>38</v>
      </c>
      <c r="C381" s="165"/>
      <c r="D381" s="42">
        <f>VLOOKUP($B380,[1]Complaints!$A$4:$AJ$39,2,)</f>
        <v>149</v>
      </c>
      <c r="E381" s="43">
        <f>VLOOKUP($B380,[2]Complaints!$A$4:$AJ$39,2,)</f>
        <v>183</v>
      </c>
      <c r="F381" s="43">
        <f>VLOOKUP($B380,[3]Complaints!$A$4:$AJ$39,2)</f>
        <v>257</v>
      </c>
      <c r="G381" s="43">
        <f>VLOOKUP($B380,[4]Complaints!$A$4:$AJ$39,2)</f>
        <v>391</v>
      </c>
      <c r="H381" s="43">
        <f>VLOOKUP($B380,[5]Complaints!$A$4:$AJ$39,2)</f>
        <v>512</v>
      </c>
      <c r="I381" s="43">
        <f>VLOOKUP($B380,[6]Complaints!$A$4:$AJ$39,2)</f>
        <v>627</v>
      </c>
      <c r="J381" s="43">
        <f>VLOOKUP($B380,[7]Complaints!$A$4:$AJ$39,2)</f>
        <v>704</v>
      </c>
      <c r="K381" s="43">
        <f>VLOOKUP($B380,[8]Complaints!$A$4:$AJ$39,2)</f>
        <v>704</v>
      </c>
      <c r="L381" s="43">
        <f>VLOOKUP($B380,[9]Complaints!$A$4:$AJ$39,2)</f>
        <v>668</v>
      </c>
      <c r="M381" s="43">
        <f>VLOOKUP($B380,[10]Complaints!$A$4:$AJ$39,2)</f>
        <v>533</v>
      </c>
      <c r="N381" s="43">
        <f>VLOOKUP($B380,[11]Complaints!$A$4:$AJ$39,2)</f>
        <v>0</v>
      </c>
      <c r="O381" s="44">
        <f>VLOOKUP($B380,[12]Complaints!$A$4:$AJ$39,2)</f>
        <v>0</v>
      </c>
      <c r="P381" s="45">
        <f>SUM(D381:O381)</f>
        <v>4728</v>
      </c>
      <c r="Q381" s="46"/>
      <c r="R381" s="18"/>
    </row>
    <row r="382" spans="2:19" ht="15.75" customHeight="1" x14ac:dyDescent="0.2">
      <c r="B382" s="166" t="s">
        <v>94</v>
      </c>
      <c r="C382" s="167"/>
      <c r="D382" s="47">
        <f>VLOOKUP($B380,[1]Complaints!$A$4:$AF$39,3,)</f>
        <v>0</v>
      </c>
      <c r="E382" s="48">
        <f>VLOOKUP($B380,[2]Complaints!$A$4:$AF$39,3,)</f>
        <v>0</v>
      </c>
      <c r="F382" s="48">
        <f>VLOOKUP($B380,[3]Complaints!$A$4:$AG$39,3,)</f>
        <v>0</v>
      </c>
      <c r="G382" s="48">
        <f>VLOOKUP($B380,[4]Complaints!$A$4:$AG$39,3,)</f>
        <v>0</v>
      </c>
      <c r="H382" s="48">
        <f>VLOOKUP($B380,[5]Complaints!$A$4:$AG$39,3,)</f>
        <v>0</v>
      </c>
      <c r="I382" s="48">
        <f>VLOOKUP($B380,[6]Complaints!$A$4:$AG$39,3,)</f>
        <v>0</v>
      </c>
      <c r="J382" s="48">
        <f>VLOOKUP($B380,[7]Complaints!$A$4:$AG$39,3,)</f>
        <v>0</v>
      </c>
      <c r="K382" s="48">
        <f>VLOOKUP($B380,[8]Complaints!$A$4:$AG$39,3,)</f>
        <v>0</v>
      </c>
      <c r="L382" s="48">
        <f>VLOOKUP($B380,[9]Complaints!$A$4:$AG$39,3,)</f>
        <v>1</v>
      </c>
      <c r="M382" s="48">
        <f>VLOOKUP($B380,[10]Complaints!$A$4:$AG$39,3,)</f>
        <v>0</v>
      </c>
      <c r="N382" s="48">
        <f>VLOOKUP($B380,[11]Complaints!$A$4:$AG$39,3,)</f>
        <v>0</v>
      </c>
      <c r="O382" s="49">
        <f>VLOOKUP($B380,[12]Complaints!$A$4:$AG$39,3,)</f>
        <v>0</v>
      </c>
      <c r="P382" s="45">
        <f>SUM(D382:O382)</f>
        <v>1</v>
      </c>
      <c r="Q382" s="50"/>
      <c r="R382" s="18"/>
    </row>
    <row r="383" spans="2:19" ht="15.75" customHeight="1" x14ac:dyDescent="0.2">
      <c r="B383" s="26"/>
      <c r="C383" s="28" t="s">
        <v>102</v>
      </c>
      <c r="D383" s="51">
        <f>IF(D381=0,"",D382/D381)</f>
        <v>0</v>
      </c>
      <c r="E383" s="52">
        <f t="shared" ref="E383:O383" si="96">IF(E381=0,"",E382/E381)</f>
        <v>0</v>
      </c>
      <c r="F383" s="52">
        <f t="shared" si="96"/>
        <v>0</v>
      </c>
      <c r="G383" s="52">
        <f t="shared" si="96"/>
        <v>0</v>
      </c>
      <c r="H383" s="52">
        <f t="shared" si="96"/>
        <v>0</v>
      </c>
      <c r="I383" s="52">
        <f t="shared" si="96"/>
        <v>0</v>
      </c>
      <c r="J383" s="52">
        <f t="shared" si="96"/>
        <v>0</v>
      </c>
      <c r="K383" s="52">
        <f t="shared" si="96"/>
        <v>0</v>
      </c>
      <c r="L383" s="52">
        <f t="shared" si="96"/>
        <v>1.4970059880239522E-3</v>
      </c>
      <c r="M383" s="52">
        <f t="shared" si="96"/>
        <v>0</v>
      </c>
      <c r="N383" s="52" t="str">
        <f t="shared" si="96"/>
        <v/>
      </c>
      <c r="O383" s="53" t="str">
        <f t="shared" si="96"/>
        <v/>
      </c>
      <c r="P383" s="54">
        <f>IF(P382="","",P382/P381)</f>
        <v>2.1150592216582064E-4</v>
      </c>
      <c r="Q383" s="50"/>
      <c r="R383" s="18"/>
    </row>
    <row r="384" spans="2:19" s="21" customFormat="1" ht="15.75" customHeight="1" x14ac:dyDescent="0.2">
      <c r="B384" s="155" t="s">
        <v>95</v>
      </c>
      <c r="C384" s="156"/>
      <c r="D384" s="47">
        <f>VLOOKUP($B380,[1]Complaints!$A$4:$AF$39,4,)</f>
        <v>0</v>
      </c>
      <c r="E384" s="48">
        <f>VLOOKUP($B380,[2]Complaints!$A$4:$AF$39,4,)</f>
        <v>0</v>
      </c>
      <c r="F384" s="48">
        <f>VLOOKUP($B380,[3]Complaints!$A$4:$AG$39,4,)</f>
        <v>0</v>
      </c>
      <c r="G384" s="48">
        <f>VLOOKUP($B380,[4]Complaints!$A$4:$AG$39,4,)</f>
        <v>0</v>
      </c>
      <c r="H384" s="48">
        <f>VLOOKUP($B380,[5]Complaints!$A$4:$AG$39,4,)</f>
        <v>0</v>
      </c>
      <c r="I384" s="48">
        <f>VLOOKUP($B380,[6]Complaints!$A$4:$AG$39,4,)</f>
        <v>0</v>
      </c>
      <c r="J384" s="48">
        <f>VLOOKUP($B380,[7]Complaints!$A$4:$AG$39,4,)</f>
        <v>0</v>
      </c>
      <c r="K384" s="48">
        <f>VLOOKUP($B380,[8]Complaints!$A$4:$AG$39,4,)</f>
        <v>0</v>
      </c>
      <c r="L384" s="48">
        <f>VLOOKUP($B380,[9]Complaints!$A$4:$AG$39,4,)</f>
        <v>0</v>
      </c>
      <c r="M384" s="48">
        <f>VLOOKUP($B380,[10]Complaints!$A$4:$AG$39,4,)</f>
        <v>0</v>
      </c>
      <c r="N384" s="48">
        <f>VLOOKUP($B380,[11]Complaints!$A$4:$AG$39,4,)</f>
        <v>0</v>
      </c>
      <c r="O384" s="49">
        <f>VLOOKUP($B380,[12]Complaints!$A$4:$AG$39,4,)</f>
        <v>0</v>
      </c>
      <c r="P384" s="55">
        <f t="shared" ref="P384" si="97">SUM(D384:O384)</f>
        <v>0</v>
      </c>
      <c r="Q384" s="50"/>
    </row>
    <row r="385" spans="2:18" ht="15.75" customHeight="1" x14ac:dyDescent="0.2">
      <c r="B385" s="26"/>
      <c r="C385" s="28" t="s">
        <v>98</v>
      </c>
      <c r="D385" s="51">
        <f>IF(D381=0,"",D384/D381)</f>
        <v>0</v>
      </c>
      <c r="E385" s="52">
        <f t="shared" ref="E385:O385" si="98">IF(E381=0,"",E384/E381)</f>
        <v>0</v>
      </c>
      <c r="F385" s="52">
        <f t="shared" si="98"/>
        <v>0</v>
      </c>
      <c r="G385" s="52">
        <f t="shared" si="98"/>
        <v>0</v>
      </c>
      <c r="H385" s="52">
        <f t="shared" si="98"/>
        <v>0</v>
      </c>
      <c r="I385" s="52">
        <f t="shared" si="98"/>
        <v>0</v>
      </c>
      <c r="J385" s="52">
        <f t="shared" si="98"/>
        <v>0</v>
      </c>
      <c r="K385" s="52">
        <f t="shared" si="98"/>
        <v>0</v>
      </c>
      <c r="L385" s="52">
        <f t="shared" si="98"/>
        <v>0</v>
      </c>
      <c r="M385" s="52">
        <f t="shared" si="98"/>
        <v>0</v>
      </c>
      <c r="N385" s="52" t="str">
        <f t="shared" si="98"/>
        <v/>
      </c>
      <c r="O385" s="53" t="str">
        <f t="shared" si="98"/>
        <v/>
      </c>
      <c r="P385" s="54">
        <f>IF(P384="","",P384/P381)</f>
        <v>0</v>
      </c>
      <c r="Q385" s="50"/>
      <c r="R385" s="18"/>
    </row>
    <row r="386" spans="2:18" ht="15.75" customHeight="1" x14ac:dyDescent="0.2">
      <c r="B386" s="155" t="s">
        <v>96</v>
      </c>
      <c r="C386" s="156"/>
      <c r="D386" s="47">
        <f>VLOOKUP($B380,[1]Complaints!$A$4:$AF$39,5,)</f>
        <v>0</v>
      </c>
      <c r="E386" s="48">
        <f>VLOOKUP($B380,[2]Complaints!$A$4:$AF$39,5,)</f>
        <v>0</v>
      </c>
      <c r="F386" s="48">
        <f>VLOOKUP($B380,[3]Complaints!$A$4:$AG$39,5,)</f>
        <v>0</v>
      </c>
      <c r="G386" s="48">
        <f>VLOOKUP($B380,[4]Complaints!$A$4:$AG$39,5,)</f>
        <v>0</v>
      </c>
      <c r="H386" s="48">
        <f>VLOOKUP($B380,[5]Complaints!$A$4:$AG$39,5,)</f>
        <v>0</v>
      </c>
      <c r="I386" s="48">
        <f>VLOOKUP($B380,[6]Complaints!$A$4:$AG$39,5,)</f>
        <v>0</v>
      </c>
      <c r="J386" s="48">
        <f>VLOOKUP($B380,[7]Complaints!$A$4:$AG$39,5,)</f>
        <v>0</v>
      </c>
      <c r="K386" s="48">
        <f>VLOOKUP($B380,[8]Complaints!$A$4:$AG$39,5,)</f>
        <v>0</v>
      </c>
      <c r="L386" s="48">
        <f>VLOOKUP($B380,[9]Complaints!$A$4:$AG$39,5,)</f>
        <v>1</v>
      </c>
      <c r="M386" s="48">
        <f>VLOOKUP($B380,[10]Complaints!$A$4:$AG$39,5,)</f>
        <v>0</v>
      </c>
      <c r="N386" s="48">
        <f>VLOOKUP($B380,[11]Complaints!$A$4:$AG$39,5,)</f>
        <v>0</v>
      </c>
      <c r="O386" s="49">
        <f>VLOOKUP($B380,[12]Complaints!$A$4:$AG$39,5,)</f>
        <v>0</v>
      </c>
      <c r="P386" s="55">
        <f t="shared" ref="P386" si="99">SUM(D386:O386)</f>
        <v>1</v>
      </c>
      <c r="Q386" s="50"/>
      <c r="R386" s="18"/>
    </row>
    <row r="387" spans="2:18" ht="15.75" customHeight="1" x14ac:dyDescent="0.2">
      <c r="B387" s="26"/>
      <c r="C387" s="28" t="s">
        <v>99</v>
      </c>
      <c r="D387" s="51">
        <f>IF(D381=0,"",D386/D381)</f>
        <v>0</v>
      </c>
      <c r="E387" s="52">
        <f t="shared" ref="E387:O387" si="100">IF(E381=0,"",E386/E381)</f>
        <v>0</v>
      </c>
      <c r="F387" s="52">
        <f t="shared" si="100"/>
        <v>0</v>
      </c>
      <c r="G387" s="52">
        <f t="shared" si="100"/>
        <v>0</v>
      </c>
      <c r="H387" s="52">
        <f t="shared" si="100"/>
        <v>0</v>
      </c>
      <c r="I387" s="52">
        <f t="shared" si="100"/>
        <v>0</v>
      </c>
      <c r="J387" s="52">
        <f t="shared" si="100"/>
        <v>0</v>
      </c>
      <c r="K387" s="52">
        <f t="shared" si="100"/>
        <v>0</v>
      </c>
      <c r="L387" s="52">
        <f t="shared" si="100"/>
        <v>1.4970059880239522E-3</v>
      </c>
      <c r="M387" s="52">
        <f t="shared" si="100"/>
        <v>0</v>
      </c>
      <c r="N387" s="52" t="str">
        <f t="shared" si="100"/>
        <v/>
      </c>
      <c r="O387" s="53" t="str">
        <f t="shared" si="100"/>
        <v/>
      </c>
      <c r="P387" s="54">
        <f>IF(P386="","",P386/P381)</f>
        <v>2.1150592216582064E-4</v>
      </c>
      <c r="Q387" s="50"/>
      <c r="R387" s="18"/>
    </row>
    <row r="388" spans="2:18" ht="15.75" customHeight="1" x14ac:dyDescent="0.2">
      <c r="B388" s="157" t="s">
        <v>97</v>
      </c>
      <c r="C388" s="156"/>
      <c r="D388" s="47">
        <f>VLOOKUP($B380,[1]Complaints!$A$4:$AF$39,6,)</f>
        <v>0</v>
      </c>
      <c r="E388" s="48">
        <f>VLOOKUP($B380,[2]Complaints!$A$4:$AF$39,6,)</f>
        <v>0</v>
      </c>
      <c r="F388" s="48">
        <f>VLOOKUP($B380,[3]Complaints!$A$4:$AG$39,6,)</f>
        <v>0</v>
      </c>
      <c r="G388" s="48">
        <f>VLOOKUP($B380,[4]Complaints!$A$4:$AG$39,6,)</f>
        <v>0</v>
      </c>
      <c r="H388" s="48">
        <f>VLOOKUP($B380,[5]Complaints!$A$4:$AG$39,6,)</f>
        <v>0</v>
      </c>
      <c r="I388" s="48">
        <f>VLOOKUP($B380,[6]Complaints!$A$4:$AG$39,6,)</f>
        <v>0</v>
      </c>
      <c r="J388" s="48">
        <f>VLOOKUP($B380,[7]Complaints!$A$4:$AG$39,6,)</f>
        <v>0</v>
      </c>
      <c r="K388" s="48">
        <f>VLOOKUP($B380,[8]Complaints!$A$4:$AG$39,6,)</f>
        <v>0</v>
      </c>
      <c r="L388" s="48">
        <f>VLOOKUP($B380,[9]Complaints!$A$4:$AG$39,6,)</f>
        <v>1</v>
      </c>
      <c r="M388" s="48">
        <f>VLOOKUP($B380,[10]Complaints!$A$4:$AG$39,6,)</f>
        <v>0</v>
      </c>
      <c r="N388" s="48">
        <f>VLOOKUP($B380,[11]Complaints!$A$4:$AG$39,6,)</f>
        <v>0</v>
      </c>
      <c r="O388" s="49">
        <f>VLOOKUP($B380,[12]Complaints!$A$4:$AG$39,6,)</f>
        <v>0</v>
      </c>
      <c r="P388" s="55">
        <f t="shared" ref="P388" si="101">SUM(D388:O388)</f>
        <v>1</v>
      </c>
      <c r="Q388" s="50"/>
      <c r="R388" s="18"/>
    </row>
    <row r="389" spans="2:18" ht="15.75" customHeight="1" thickBot="1" x14ac:dyDescent="0.25">
      <c r="B389" s="27"/>
      <c r="C389" s="29" t="s">
        <v>100</v>
      </c>
      <c r="D389" s="56" t="str">
        <f>IF(D388=0,"",D388/D386)</f>
        <v/>
      </c>
      <c r="E389" s="57" t="str">
        <f t="shared" ref="E389:H389" si="102">IF(E388=0,"",E388/E386)</f>
        <v/>
      </c>
      <c r="F389" s="57" t="str">
        <f t="shared" si="102"/>
        <v/>
      </c>
      <c r="G389" s="57" t="str">
        <f t="shared" si="102"/>
        <v/>
      </c>
      <c r="H389" s="57" t="str">
        <f t="shared" si="102"/>
        <v/>
      </c>
      <c r="I389" s="57" t="str">
        <f>IF(I388=0,"",I388/I386)</f>
        <v/>
      </c>
      <c r="J389" s="57" t="str">
        <f t="shared" ref="J389:O389" si="103">IF(J388=0,"",J388/J386)</f>
        <v/>
      </c>
      <c r="K389" s="57" t="str">
        <f t="shared" si="103"/>
        <v/>
      </c>
      <c r="L389" s="57">
        <f t="shared" si="103"/>
        <v>1</v>
      </c>
      <c r="M389" s="57" t="str">
        <f t="shared" si="103"/>
        <v/>
      </c>
      <c r="N389" s="57" t="str">
        <f t="shared" si="103"/>
        <v/>
      </c>
      <c r="O389" s="58" t="str">
        <f t="shared" si="103"/>
        <v/>
      </c>
      <c r="P389" s="59">
        <f>IF(P388=0,"",P388/P386)</f>
        <v>1</v>
      </c>
      <c r="Q389" s="60"/>
      <c r="R389" s="18"/>
    </row>
    <row r="390" spans="2:18" ht="15.75" customHeight="1" x14ac:dyDescent="0.2">
      <c r="B390" s="168" t="s">
        <v>103</v>
      </c>
      <c r="C390" s="30" t="s">
        <v>77</v>
      </c>
      <c r="D390" s="61">
        <f>VLOOKUP($B380,[1]Complaints!$A$4:$AJ$39,7,)</f>
        <v>0</v>
      </c>
      <c r="E390" s="43">
        <f>VLOOKUP($B380,[2]Complaints!$A$4:$AJ$39,7,)</f>
        <v>0</v>
      </c>
      <c r="F390" s="43">
        <f>VLOOKUP($B380,[3]Complaints!$A$4:$AJ$39,7,)</f>
        <v>0</v>
      </c>
      <c r="G390" s="43">
        <f>VLOOKUP($B380,[4]Complaints!$A$4:$AJ$39,7,)</f>
        <v>0</v>
      </c>
      <c r="H390" s="43">
        <f>VLOOKUP($B380,[5]Complaints!$A$4:$AJ$39,7,)</f>
        <v>0</v>
      </c>
      <c r="I390" s="43">
        <f>VLOOKUP($B380,[6]Complaints!$A$4:$AJ$39,7,)</f>
        <v>0</v>
      </c>
      <c r="J390" s="43">
        <f>VLOOKUP($B380,[7]Complaints!$A$4:$AJ$39,7,)</f>
        <v>0</v>
      </c>
      <c r="K390" s="43">
        <f>VLOOKUP($B380,[8]Complaints!$A$4:$AJ$39,7,)</f>
        <v>0</v>
      </c>
      <c r="L390" s="43">
        <f>VLOOKUP($B380,[9]Complaints!$A$4:$AJ$39,7,)</f>
        <v>0</v>
      </c>
      <c r="M390" s="43">
        <f>VLOOKUP($B380,[10]Complaints!$A$4:$AJ$39,7,)</f>
        <v>0</v>
      </c>
      <c r="N390" s="43">
        <f>VLOOKUP($B380,[11]Complaints!$A$4:$AJ$39,7,)</f>
        <v>0</v>
      </c>
      <c r="O390" s="44">
        <f>VLOOKUP($B380,[12]Complaints!$A$4:$AJ$39,7,)</f>
        <v>0</v>
      </c>
      <c r="P390" s="45">
        <f>SUM(D390:O390)</f>
        <v>0</v>
      </c>
      <c r="Q390" s="46" t="str">
        <f>IF(P390=0,"",P390/$P382)</f>
        <v/>
      </c>
      <c r="R390" s="18"/>
    </row>
    <row r="391" spans="2:18" ht="15.75" customHeight="1" x14ac:dyDescent="0.2">
      <c r="B391" s="169"/>
      <c r="C391" s="31" t="s">
        <v>89</v>
      </c>
      <c r="D391" s="47">
        <f>VLOOKUP($B380,[1]Complaints!$A$4:$AJ$39,8,)</f>
        <v>0</v>
      </c>
      <c r="E391" s="48">
        <f>VLOOKUP($B380,[2]Complaints!$A$4:$AJ$39,8,)</f>
        <v>0</v>
      </c>
      <c r="F391" s="48">
        <f>VLOOKUP($B380,[3]Complaints!$A$4:$AJ$39,8,)</f>
        <v>0</v>
      </c>
      <c r="G391" s="48">
        <f>VLOOKUP($B380,[4]Complaints!$A$4:$AJ$39,8,)</f>
        <v>0</v>
      </c>
      <c r="H391" s="48">
        <f>VLOOKUP($B380,[5]Complaints!$A$4:$AJ$39,8,)</f>
        <v>0</v>
      </c>
      <c r="I391" s="48">
        <f>VLOOKUP($B380,[6]Complaints!$A$4:$AJ$39,8,)</f>
        <v>0</v>
      </c>
      <c r="J391" s="48">
        <f>VLOOKUP($B380,[7]Complaints!$A$4:$AJ$39,8,)</f>
        <v>0</v>
      </c>
      <c r="K391" s="48">
        <f>VLOOKUP($B380,[8]Complaints!$A$4:$AJ$39,8,)</f>
        <v>1</v>
      </c>
      <c r="L391" s="48">
        <f>VLOOKUP($B380,[9]Complaints!$A$4:$AJ$39,8,)</f>
        <v>1</v>
      </c>
      <c r="M391" s="48">
        <f>VLOOKUP($B380,[10]Complaints!$A$4:$AJ$39,8,)</f>
        <v>0</v>
      </c>
      <c r="N391" s="48">
        <f>VLOOKUP($B380,[11]Complaints!$A$4:$AJ$39,8,)</f>
        <v>0</v>
      </c>
      <c r="O391" s="49">
        <f>VLOOKUP($B380,[12]Complaints!$A$4:$AJ$39,8,)</f>
        <v>0</v>
      </c>
      <c r="P391" s="55">
        <f t="shared" ref="P391:P392" si="104">SUM(D391:O391)</f>
        <v>2</v>
      </c>
      <c r="Q391" s="50">
        <f>IF(P391="","",P391/$P382)</f>
        <v>2</v>
      </c>
      <c r="R391" s="18"/>
    </row>
    <row r="392" spans="2:18" ht="15.75" customHeight="1" x14ac:dyDescent="0.2">
      <c r="B392" s="169"/>
      <c r="C392" s="31" t="s">
        <v>88</v>
      </c>
      <c r="D392" s="47">
        <f>VLOOKUP($B380,[1]Complaints!$A$4:$AJ$39,9,)</f>
        <v>0</v>
      </c>
      <c r="E392" s="48">
        <f>VLOOKUP($B380,[2]Complaints!$A$4:$AJ$39,9,)</f>
        <v>0</v>
      </c>
      <c r="F392" s="48">
        <f>VLOOKUP($B380,[3]Complaints!$A$4:$AJ$39,9,)</f>
        <v>0</v>
      </c>
      <c r="G392" s="48">
        <f>VLOOKUP($B380,[4]Complaints!$A$4:$AJ$39,9,)</f>
        <v>0</v>
      </c>
      <c r="H392" s="48">
        <f>VLOOKUP($B380,[5]Complaints!$A$4:$AJ$39,9,)</f>
        <v>0</v>
      </c>
      <c r="I392" s="48">
        <f>VLOOKUP($B380,[6]Complaints!$A$4:$AJ$39,9,)</f>
        <v>0</v>
      </c>
      <c r="J392" s="48">
        <f>VLOOKUP($B380,[7]Complaints!$A$4:$AJ$39,9,)</f>
        <v>0</v>
      </c>
      <c r="K392" s="48">
        <f>VLOOKUP($B380,[8]Complaints!$A$4:$AJ$39,9,)</f>
        <v>0</v>
      </c>
      <c r="L392" s="48">
        <f>VLOOKUP($B380,[9]Complaints!$A$4:$AJ$39,9,)</f>
        <v>0</v>
      </c>
      <c r="M392" s="48">
        <f>VLOOKUP($B380,[10]Complaints!$A$4:$AJ$39,9,)</f>
        <v>0</v>
      </c>
      <c r="N392" s="48">
        <f>VLOOKUP($B380,[11]Complaints!$A$4:$AJ$39,9,)</f>
        <v>0</v>
      </c>
      <c r="O392" s="49">
        <f>VLOOKUP($B380,[12]Complaints!$A$4:$AJ$39,9,)</f>
        <v>0</v>
      </c>
      <c r="P392" s="55">
        <f t="shared" si="104"/>
        <v>0</v>
      </c>
      <c r="Q392" s="50" t="str">
        <f>IF(P392=0,"",P392/$P382)</f>
        <v/>
      </c>
      <c r="R392" s="18"/>
    </row>
    <row r="393" spans="2:18" ht="15.75" customHeight="1" x14ac:dyDescent="0.2">
      <c r="B393" s="169"/>
      <c r="C393" s="31" t="s">
        <v>13</v>
      </c>
      <c r="D393" s="47">
        <f>VLOOKUP($B380,[1]Complaints!$A$4:$AJ$39,10,)</f>
        <v>0</v>
      </c>
      <c r="E393" s="48">
        <f>VLOOKUP($B380,[2]Complaints!$A$4:$AJ$39,10,)</f>
        <v>0</v>
      </c>
      <c r="F393" s="48">
        <f>VLOOKUP($B380,[3]Complaints!$A$4:$AJ$39,10,)</f>
        <v>0</v>
      </c>
      <c r="G393" s="48">
        <f>VLOOKUP($B380,[4]Complaints!$A$4:$AJ$39,10,)</f>
        <v>0</v>
      </c>
      <c r="H393" s="48">
        <f>VLOOKUP($B380,[5]Complaints!$A$4:$AJ$39,10,)</f>
        <v>0</v>
      </c>
      <c r="I393" s="48">
        <f>VLOOKUP($B380,[6]Complaints!$A$4:$AJ$39,10,)</f>
        <v>0</v>
      </c>
      <c r="J393" s="48">
        <f>VLOOKUP($B380,[7]Complaints!$A$4:$AJ$39,10,)</f>
        <v>0</v>
      </c>
      <c r="K393" s="48">
        <f>VLOOKUP($B380,[8]Complaints!$A$4:$AJ$39,10,)</f>
        <v>0</v>
      </c>
      <c r="L393" s="48">
        <f>VLOOKUP($B380,[9]Complaints!$A$4:$AJ$39,10,)</f>
        <v>0</v>
      </c>
      <c r="M393" s="48">
        <f>VLOOKUP($B380,[10]Complaints!$A$4:$AJ$39,10,)</f>
        <v>0</v>
      </c>
      <c r="N393" s="48">
        <f>VLOOKUP($B380,[11]Complaints!$A$4:$AJ$39,10,)</f>
        <v>0</v>
      </c>
      <c r="O393" s="49">
        <f>VLOOKUP($B380,[12]Complaints!$A$4:$AJ$39,10,)</f>
        <v>0</v>
      </c>
      <c r="P393" s="55">
        <f>SUM(D393:O393)</f>
        <v>0</v>
      </c>
      <c r="Q393" s="50" t="str">
        <f>IF(P393=0,"",P393/$P382)</f>
        <v/>
      </c>
      <c r="R393" s="18"/>
    </row>
    <row r="394" spans="2:18" ht="15.75" customHeight="1" x14ac:dyDescent="0.2">
      <c r="B394" s="169"/>
      <c r="C394" s="31" t="s">
        <v>101</v>
      </c>
      <c r="D394" s="47">
        <f>VLOOKUP($B380,[1]Complaints!$A$4:$AJ$39,11,)</f>
        <v>0</v>
      </c>
      <c r="E394" s="48">
        <f>VLOOKUP($B380,[2]Complaints!$A$4:$AJ$39,11,)</f>
        <v>0</v>
      </c>
      <c r="F394" s="48">
        <f>VLOOKUP($B380,[3]Complaints!$A$4:$AJ$39,11,)</f>
        <v>0</v>
      </c>
      <c r="G394" s="48">
        <f>VLOOKUP($B380,[4]Complaints!$A$4:$AJ$39,11,)</f>
        <v>0</v>
      </c>
      <c r="H394" s="48">
        <f>VLOOKUP($B380,[5]Complaints!$A$4:$AJ$39,11,)</f>
        <v>0</v>
      </c>
      <c r="I394" s="48">
        <f>VLOOKUP($B380,[6]Complaints!$A$4:$AJ$39,11,)</f>
        <v>0</v>
      </c>
      <c r="J394" s="48">
        <f>VLOOKUP($B380,[7]Complaints!$A$4:$AJ$39,11,)</f>
        <v>0</v>
      </c>
      <c r="K394" s="48">
        <f>VLOOKUP($B380,[8]Complaints!$A$4:$AJ$39,11,)</f>
        <v>0</v>
      </c>
      <c r="L394" s="48">
        <f>VLOOKUP($B380,[9]Complaints!$A$4:$AJ$39,11,)</f>
        <v>0</v>
      </c>
      <c r="M394" s="48">
        <f>VLOOKUP($B380,[10]Complaints!$A$4:$AJ$39,11,)</f>
        <v>0</v>
      </c>
      <c r="N394" s="48">
        <f>VLOOKUP($B380,[11]Complaints!$A$4:$AJ$39,11,)</f>
        <v>0</v>
      </c>
      <c r="O394" s="49">
        <f>VLOOKUP($B380,[12]Complaints!$A$4:$AJ$39,11,)</f>
        <v>0</v>
      </c>
      <c r="P394" s="55">
        <f t="shared" ref="P394:P403" si="105">SUM(D394:O394)</f>
        <v>0</v>
      </c>
      <c r="Q394" s="50" t="str">
        <f>IF(P394=0,"",P394/$P382)</f>
        <v/>
      </c>
      <c r="R394" s="18"/>
    </row>
    <row r="395" spans="2:18" s="19" customFormat="1" ht="15.75" customHeight="1" x14ac:dyDescent="0.2">
      <c r="B395" s="169"/>
      <c r="C395" s="31" t="s">
        <v>93</v>
      </c>
      <c r="D395" s="47">
        <f>VLOOKUP($B380,[1]Complaints!$A$4:$AJ$39,12,)</f>
        <v>0</v>
      </c>
      <c r="E395" s="48">
        <f>VLOOKUP($B380,[2]Complaints!$A$4:$AJ$39,12,)</f>
        <v>0</v>
      </c>
      <c r="F395" s="48">
        <f>VLOOKUP($B380,[3]Complaints!$A$4:$AJ$39,12,)</f>
        <v>0</v>
      </c>
      <c r="G395" s="48">
        <f>VLOOKUP($B380,[4]Complaints!$A$4:$AJ$39,12,)</f>
        <v>0</v>
      </c>
      <c r="H395" s="48">
        <f>VLOOKUP($B380,[5]Complaints!$A$4:$AJ$39,12,)</f>
        <v>0</v>
      </c>
      <c r="I395" s="48">
        <f>VLOOKUP($B380,[6]Complaints!$A$4:$AJ$39,12,)</f>
        <v>0</v>
      </c>
      <c r="J395" s="48">
        <f>VLOOKUP($B380,[7]Complaints!$A$4:$AJ$39,12,)</f>
        <v>0</v>
      </c>
      <c r="K395" s="48">
        <f>VLOOKUP($B380,[8]Complaints!$A$4:$AJ$39,12,)</f>
        <v>0</v>
      </c>
      <c r="L395" s="48">
        <f>VLOOKUP($B380,[9]Complaints!$A$4:$AJ$39,12,)</f>
        <v>0</v>
      </c>
      <c r="M395" s="48">
        <f>VLOOKUP($B380,[10]Complaints!$A$4:$AJ$39,12,)</f>
        <v>0</v>
      </c>
      <c r="N395" s="48">
        <f>VLOOKUP($B380,[11]Complaints!$A$4:$AJ$39,12,)</f>
        <v>0</v>
      </c>
      <c r="O395" s="49">
        <f>VLOOKUP($B380,[12]Complaints!$A$4:$AJ$39,12,)</f>
        <v>0</v>
      </c>
      <c r="P395" s="55">
        <f t="shared" si="105"/>
        <v>0</v>
      </c>
      <c r="Q395" s="50" t="str">
        <f>IF(P395=0,"",P395/$P382)</f>
        <v/>
      </c>
    </row>
    <row r="396" spans="2:18" ht="15.75" customHeight="1" x14ac:dyDescent="0.2">
      <c r="B396" s="169"/>
      <c r="C396" s="31" t="s">
        <v>78</v>
      </c>
      <c r="D396" s="47">
        <f>VLOOKUP($B380,[1]Complaints!$A$4:$AJ$39,13,)</f>
        <v>0</v>
      </c>
      <c r="E396" s="48">
        <f>VLOOKUP($B380,[2]Complaints!$A$4:$AJ$39,13,)</f>
        <v>0</v>
      </c>
      <c r="F396" s="48">
        <f>VLOOKUP($B380,[3]Complaints!$A$4:$AJ$39,13,)</f>
        <v>0</v>
      </c>
      <c r="G396" s="48">
        <f>VLOOKUP($B380,[4]Complaints!$A$4:$AJ$39,13,)</f>
        <v>0</v>
      </c>
      <c r="H396" s="48">
        <f>VLOOKUP($B380,[5]Complaints!$A$4:$AJ$39,13,)</f>
        <v>0</v>
      </c>
      <c r="I396" s="48">
        <f>VLOOKUP($B380,[6]Complaints!$A$4:$AJ$39,13,)</f>
        <v>0</v>
      </c>
      <c r="J396" s="48">
        <f>VLOOKUP($B380,[7]Complaints!$A$4:$AJ$39,13,)</f>
        <v>0</v>
      </c>
      <c r="K396" s="48">
        <f>VLOOKUP($B380,[8]Complaints!$A$4:$AJ$39,13,)</f>
        <v>0</v>
      </c>
      <c r="L396" s="48">
        <f>VLOOKUP($B380,[9]Complaints!$A$4:$AJ$39,13,)</f>
        <v>0</v>
      </c>
      <c r="M396" s="48">
        <f>VLOOKUP($B380,[10]Complaints!$A$4:$AJ$39,13,)</f>
        <v>0</v>
      </c>
      <c r="N396" s="48">
        <f>VLOOKUP($B380,[11]Complaints!$A$4:$AJ$39,13,)</f>
        <v>0</v>
      </c>
      <c r="O396" s="49">
        <f>VLOOKUP($B380,[12]Complaints!$A$4:$AJ$39,13,)</f>
        <v>0</v>
      </c>
      <c r="P396" s="55">
        <f t="shared" si="105"/>
        <v>0</v>
      </c>
      <c r="Q396" s="50" t="str">
        <f>IF(P396=0,"",P396/$P382)</f>
        <v/>
      </c>
      <c r="R396" s="18"/>
    </row>
    <row r="397" spans="2:18" ht="15.75" customHeight="1" x14ac:dyDescent="0.2">
      <c r="B397" s="169"/>
      <c r="C397" s="31" t="s">
        <v>92</v>
      </c>
      <c r="D397" s="47">
        <f>VLOOKUP($B380,[1]Complaints!$A$4:$AJ$39,14,)</f>
        <v>0</v>
      </c>
      <c r="E397" s="48">
        <f>VLOOKUP($B380,[2]Complaints!$A$4:$AJ$39,14,)</f>
        <v>0</v>
      </c>
      <c r="F397" s="48">
        <f>VLOOKUP($B380,[3]Complaints!$A$4:$AJ$39,14,)</f>
        <v>0</v>
      </c>
      <c r="G397" s="48">
        <f>VLOOKUP($B380,[4]Complaints!$A$4:$AJ$39,14,)</f>
        <v>0</v>
      </c>
      <c r="H397" s="48">
        <f>VLOOKUP($B380,[5]Complaints!$A$4:$AJ$39,14,)</f>
        <v>0</v>
      </c>
      <c r="I397" s="48">
        <f>VLOOKUP($B380,[6]Complaints!$A$4:$AJ$39,14,)</f>
        <v>0</v>
      </c>
      <c r="J397" s="48">
        <f>VLOOKUP($B380,[7]Complaints!$A$4:$AJ$39,14,)</f>
        <v>0</v>
      </c>
      <c r="K397" s="48">
        <f>VLOOKUP($B380,[8]Complaints!$A$4:$AJ$39,14,)</f>
        <v>0</v>
      </c>
      <c r="L397" s="48">
        <f>VLOOKUP($B380,[9]Complaints!$A$4:$AJ$39,14,)</f>
        <v>0</v>
      </c>
      <c r="M397" s="48">
        <f>VLOOKUP($B380,[10]Complaints!$A$4:$AJ$39,14,)</f>
        <v>0</v>
      </c>
      <c r="N397" s="48">
        <f>VLOOKUP($B380,[11]Complaints!$A$4:$AJ$39,14,)</f>
        <v>0</v>
      </c>
      <c r="O397" s="49">
        <f>VLOOKUP($B380,[12]Complaints!$A$4:$AJ$39,14,)</f>
        <v>0</v>
      </c>
      <c r="P397" s="55">
        <f t="shared" si="105"/>
        <v>0</v>
      </c>
      <c r="Q397" s="50" t="str">
        <f>IF(P397=0,"",P397/$P382)</f>
        <v/>
      </c>
      <c r="R397" s="18"/>
    </row>
    <row r="398" spans="2:18" ht="15.75" customHeight="1" x14ac:dyDescent="0.2">
      <c r="B398" s="169"/>
      <c r="C398" s="31" t="s">
        <v>91</v>
      </c>
      <c r="D398" s="47">
        <f>VLOOKUP($B380,[1]Complaints!$A$4:$AJ$39,15,)</f>
        <v>0</v>
      </c>
      <c r="E398" s="48">
        <f>VLOOKUP($B380,[2]Complaints!$A$4:$AJ$39,15,)</f>
        <v>0</v>
      </c>
      <c r="F398" s="48">
        <f>VLOOKUP($B380,[3]Complaints!$A$4:$AJ$39,15,)</f>
        <v>0</v>
      </c>
      <c r="G398" s="48">
        <f>VLOOKUP($B380,[4]Complaints!$A$4:$AJ$39,15,)</f>
        <v>0</v>
      </c>
      <c r="H398" s="48">
        <f>VLOOKUP($B380,[5]Complaints!$A$4:$AJ$39,15,)</f>
        <v>0</v>
      </c>
      <c r="I398" s="48">
        <f>VLOOKUP($B380,[6]Complaints!$A$4:$AJ$39,15,)</f>
        <v>0</v>
      </c>
      <c r="J398" s="48">
        <f>VLOOKUP($B380,[7]Complaints!$A$4:$AJ$39,15,)</f>
        <v>0</v>
      </c>
      <c r="K398" s="48">
        <f>VLOOKUP($B380,[8]Complaints!$A$4:$AJ$39,15,)</f>
        <v>0</v>
      </c>
      <c r="L398" s="48">
        <f>VLOOKUP($B380,[9]Complaints!$A$4:$AJ$39,15,)</f>
        <v>0</v>
      </c>
      <c r="M398" s="48">
        <f>VLOOKUP($B380,[10]Complaints!$A$4:$AJ$39,15,)</f>
        <v>0</v>
      </c>
      <c r="N398" s="48">
        <f>VLOOKUP($B380,[11]Complaints!$A$4:$AJ$39,15,)</f>
        <v>0</v>
      </c>
      <c r="O398" s="49">
        <f>VLOOKUP($B380,[12]Complaints!$A$4:$AJ$39,15,)</f>
        <v>0</v>
      </c>
      <c r="P398" s="55">
        <f t="shared" si="105"/>
        <v>0</v>
      </c>
      <c r="Q398" s="50" t="str">
        <f>IF(P398=0,"",P398/$P382)</f>
        <v/>
      </c>
      <c r="R398" s="18"/>
    </row>
    <row r="399" spans="2:18" ht="15.75" customHeight="1" x14ac:dyDescent="0.2">
      <c r="B399" s="169"/>
      <c r="C399" s="31" t="s">
        <v>79</v>
      </c>
      <c r="D399" s="47">
        <f>VLOOKUP($B380,[1]Complaints!$A$4:$AJ$39,16,)</f>
        <v>0</v>
      </c>
      <c r="E399" s="48">
        <f>VLOOKUP($B380,[2]Complaints!$A$4:$AJ$39,16,)</f>
        <v>0</v>
      </c>
      <c r="F399" s="48">
        <f>VLOOKUP($B380,[3]Complaints!$A$4:$AJ$39,16,)</f>
        <v>0</v>
      </c>
      <c r="G399" s="48">
        <f>VLOOKUP($B380,[4]Complaints!$A$4:$AJ$39,16,)</f>
        <v>0</v>
      </c>
      <c r="H399" s="48">
        <f>VLOOKUP($B380,[5]Complaints!$A$4:$AJ$39,16,)</f>
        <v>0</v>
      </c>
      <c r="I399" s="48">
        <f>VLOOKUP($B380,[6]Complaints!$A$4:$AJ$39,16,)</f>
        <v>0</v>
      </c>
      <c r="J399" s="48">
        <f>VLOOKUP($B380,[7]Complaints!$A$4:$AJ$39,16,)</f>
        <v>0</v>
      </c>
      <c r="K399" s="48">
        <f>VLOOKUP($B380,[8]Complaints!$A$4:$AJ$39,16,)</f>
        <v>0</v>
      </c>
      <c r="L399" s="48">
        <f>VLOOKUP($B380,[9]Complaints!$A$4:$AJ$39,16,)</f>
        <v>0</v>
      </c>
      <c r="M399" s="48">
        <f>VLOOKUP($B380,[10]Complaints!$A$4:$AJ$39,16,)</f>
        <v>0</v>
      </c>
      <c r="N399" s="48">
        <f>VLOOKUP($B380,[11]Complaints!$A$4:$AJ$39,16,)</f>
        <v>0</v>
      </c>
      <c r="O399" s="49">
        <f>VLOOKUP($B380,[12]Complaints!$A$4:$AJ$39,16,)</f>
        <v>0</v>
      </c>
      <c r="P399" s="55">
        <f t="shared" si="105"/>
        <v>0</v>
      </c>
      <c r="Q399" s="50" t="str">
        <f>IF(P399=0,"",P399/$P382)</f>
        <v/>
      </c>
      <c r="R399" s="18"/>
    </row>
    <row r="400" spans="2:18" ht="15.75" customHeight="1" x14ac:dyDescent="0.2">
      <c r="B400" s="169"/>
      <c r="C400" s="31" t="s">
        <v>80</v>
      </c>
      <c r="D400" s="47">
        <f>VLOOKUP($B380,[1]Complaints!$A$4:$AJ$39,17,)</f>
        <v>0</v>
      </c>
      <c r="E400" s="48">
        <f>VLOOKUP($B380,[2]Complaints!$A$4:$AJ$39,17,)</f>
        <v>0</v>
      </c>
      <c r="F400" s="48">
        <f>VLOOKUP($B380,[3]Complaints!$A$4:$AJ$39,17,)</f>
        <v>0</v>
      </c>
      <c r="G400" s="48">
        <f>VLOOKUP($B380,[4]Complaints!$A$4:$AJ$39,17,)</f>
        <v>0</v>
      </c>
      <c r="H400" s="48">
        <f>VLOOKUP($B380,[5]Complaints!$A$4:$AJ$39,17,)</f>
        <v>0</v>
      </c>
      <c r="I400" s="48">
        <f>VLOOKUP($B380,[6]Complaints!$A$4:$AJ$39,17,)</f>
        <v>0</v>
      </c>
      <c r="J400" s="48">
        <f>VLOOKUP($B380,[7]Complaints!$A$4:$AJ$39,17,)</f>
        <v>0</v>
      </c>
      <c r="K400" s="48">
        <f>VLOOKUP($B380,[8]Complaints!$A$4:$AJ$39,17,)</f>
        <v>0</v>
      </c>
      <c r="L400" s="48">
        <f>VLOOKUP($B380,[9]Complaints!$A$4:$AJ$39,17,)</f>
        <v>0</v>
      </c>
      <c r="M400" s="48">
        <f>VLOOKUP($B380,[10]Complaints!$A$4:$AJ$39,17,)</f>
        <v>0</v>
      </c>
      <c r="N400" s="48">
        <f>VLOOKUP($B380,[11]Complaints!$A$4:$AJ$39,17,)</f>
        <v>0</v>
      </c>
      <c r="O400" s="49">
        <f>VLOOKUP($B380,[12]Complaints!$A$4:$AJ$39,17,)</f>
        <v>0</v>
      </c>
      <c r="P400" s="55">
        <f t="shared" si="105"/>
        <v>0</v>
      </c>
      <c r="Q400" s="50" t="str">
        <f>IF(P400=0,"",P400/$P382)</f>
        <v/>
      </c>
      <c r="R400" s="18"/>
    </row>
    <row r="401" spans="1:19" ht="15.75" customHeight="1" x14ac:dyDescent="0.2">
      <c r="B401" s="169"/>
      <c r="C401" s="31" t="s">
        <v>81</v>
      </c>
      <c r="D401" s="47">
        <f>VLOOKUP($B380,[1]Complaints!$A$4:$AJ$39,18,)</f>
        <v>0</v>
      </c>
      <c r="E401" s="48">
        <f>VLOOKUP($B380,[2]Complaints!$A$4:$AJ$39,18,)</f>
        <v>0</v>
      </c>
      <c r="F401" s="48">
        <f>VLOOKUP($B380,[3]Complaints!$A$4:$AJ$39,18,)</f>
        <v>0</v>
      </c>
      <c r="G401" s="48">
        <f>VLOOKUP($B380,[4]Complaints!$A$4:$AJ$39,18,)</f>
        <v>0</v>
      </c>
      <c r="H401" s="48">
        <f>VLOOKUP($B380,[5]Complaints!$A$4:$AJ$39,18,)</f>
        <v>0</v>
      </c>
      <c r="I401" s="48">
        <f>VLOOKUP($B380,[6]Complaints!$A$4:$AJ$39,18,)</f>
        <v>0</v>
      </c>
      <c r="J401" s="48">
        <f>VLOOKUP($B380,[7]Complaints!$A$4:$AJ$39,18,)</f>
        <v>0</v>
      </c>
      <c r="K401" s="48">
        <f>VLOOKUP($B380,[8]Complaints!$A$4:$AJ$39,18,)</f>
        <v>0</v>
      </c>
      <c r="L401" s="48">
        <f>VLOOKUP($B380,[9]Complaints!$A$4:$AJ$39,18,)</f>
        <v>0</v>
      </c>
      <c r="M401" s="48">
        <f>VLOOKUP($B380,[10]Complaints!$A$4:$AJ$39,18,)</f>
        <v>0</v>
      </c>
      <c r="N401" s="48">
        <f>VLOOKUP($B380,[11]Complaints!$A$4:$AJ$39,18,)</f>
        <v>0</v>
      </c>
      <c r="O401" s="49">
        <f>VLOOKUP($B380,[12]Complaints!$A$4:$AJ$39,18,)</f>
        <v>0</v>
      </c>
      <c r="P401" s="55">
        <f t="shared" si="105"/>
        <v>0</v>
      </c>
      <c r="Q401" s="50" t="str">
        <f>IF(P401=0,"",P401/$P382)</f>
        <v/>
      </c>
      <c r="R401" s="18"/>
    </row>
    <row r="402" spans="1:19" ht="15.75" customHeight="1" x14ac:dyDescent="0.2">
      <c r="B402" s="169"/>
      <c r="C402" s="31" t="s">
        <v>82</v>
      </c>
      <c r="D402" s="47">
        <f>VLOOKUP($B380,[1]Complaints!$A$4:$AJ$39,19,)</f>
        <v>0</v>
      </c>
      <c r="E402" s="48">
        <f>VLOOKUP($B380,[2]Complaints!$A$4:$AJ$39,19,)</f>
        <v>0</v>
      </c>
      <c r="F402" s="48">
        <f>VLOOKUP($B380,[3]Complaints!$A$4:$AJ$39,19,)</f>
        <v>0</v>
      </c>
      <c r="G402" s="48">
        <f>VLOOKUP($B380,[4]Complaints!$A$4:$AJ$39,19,)</f>
        <v>0</v>
      </c>
      <c r="H402" s="48">
        <f>VLOOKUP($B380,[5]Complaints!$A$4:$AJ$39,19,)</f>
        <v>0</v>
      </c>
      <c r="I402" s="48">
        <f>VLOOKUP($B380,[6]Complaints!$A$4:$AJ$39,19,)</f>
        <v>0</v>
      </c>
      <c r="J402" s="48">
        <f>VLOOKUP($B380,[7]Complaints!$A$4:$AJ$39,19,)</f>
        <v>0</v>
      </c>
      <c r="K402" s="48">
        <f>VLOOKUP($B380,[8]Complaints!$A$4:$AJ$39,19,)</f>
        <v>0</v>
      </c>
      <c r="L402" s="48">
        <f>VLOOKUP($B380,[9]Complaints!$A$4:$AJ$39,19,)</f>
        <v>0</v>
      </c>
      <c r="M402" s="48">
        <f>VLOOKUP($B380,[10]Complaints!$A$4:$AJ$39,19,)</f>
        <v>0</v>
      </c>
      <c r="N402" s="48">
        <f>VLOOKUP($B380,[11]Complaints!$A$4:$AJ$39,19,)</f>
        <v>0</v>
      </c>
      <c r="O402" s="49">
        <f>VLOOKUP($B380,[12]Complaints!$A$4:$AJ$39,19,)</f>
        <v>0</v>
      </c>
      <c r="P402" s="55">
        <f t="shared" si="105"/>
        <v>0</v>
      </c>
      <c r="Q402" s="50" t="str">
        <f>IF(P402=0,"",P402/$P382)</f>
        <v/>
      </c>
      <c r="R402" s="18"/>
    </row>
    <row r="403" spans="1:19" ht="15.75" customHeight="1" thickBot="1" x14ac:dyDescent="0.25">
      <c r="B403" s="170"/>
      <c r="C403" s="31" t="s">
        <v>83</v>
      </c>
      <c r="D403" s="47">
        <f>VLOOKUP($B380,[1]Complaints!$A$4:$AJ$39,20,)</f>
        <v>0</v>
      </c>
      <c r="E403" s="48">
        <f>VLOOKUP($B380,[2]Complaints!$A$4:$AJ$39,20,)</f>
        <v>0</v>
      </c>
      <c r="F403" s="48">
        <f>VLOOKUP($B380,[3]Complaints!$A$4:$AJ$39,20,)</f>
        <v>0</v>
      </c>
      <c r="G403" s="48">
        <f>VLOOKUP($B380,[4]Complaints!$A$4:$AJ$39,20,)</f>
        <v>0</v>
      </c>
      <c r="H403" s="48">
        <f>VLOOKUP($B380,[5]Complaints!$A$4:$AJ$39,20,)</f>
        <v>0</v>
      </c>
      <c r="I403" s="48">
        <f>VLOOKUP($B380,[6]Complaints!$A$4:$AJ$39,20,)</f>
        <v>0</v>
      </c>
      <c r="J403" s="48">
        <f>VLOOKUP($B380,[7]Complaints!$A$4:$AJ$39,20,)</f>
        <v>0</v>
      </c>
      <c r="K403" s="48">
        <f>VLOOKUP($B380,[8]Complaints!$A$4:$AJ$39,20,)</f>
        <v>0</v>
      </c>
      <c r="L403" s="48">
        <f>VLOOKUP($B380,[9]Complaints!$A$4:$AJ$39,20,)</f>
        <v>0</v>
      </c>
      <c r="M403" s="48">
        <f>VLOOKUP($B380,[10]Complaints!$A$4:$AJ$39,20,)</f>
        <v>0</v>
      </c>
      <c r="N403" s="48">
        <f>VLOOKUP($B380,[11]Complaints!$A$4:$AJ$39,20,)</f>
        <v>0</v>
      </c>
      <c r="O403" s="49">
        <f>VLOOKUP($B380,[12]Complaints!$A$4:$AJ$39,20,)</f>
        <v>0</v>
      </c>
      <c r="P403" s="55">
        <f t="shared" si="105"/>
        <v>0</v>
      </c>
      <c r="Q403" s="50" t="str">
        <f>IF(P403=0,"",P403/$P382)</f>
        <v/>
      </c>
      <c r="R403" s="18"/>
    </row>
    <row r="404" spans="1:19" ht="15.75" customHeight="1" x14ac:dyDescent="0.2">
      <c r="B404" s="144" t="s">
        <v>90</v>
      </c>
      <c r="C404" s="37" t="s">
        <v>118</v>
      </c>
      <c r="D404" s="62">
        <f>VLOOKUP($B380,[1]Complaints!$A$4:$AJ$39,21,)</f>
        <v>0</v>
      </c>
      <c r="E404" s="63">
        <f>VLOOKUP($B380,[2]Complaints!$A$4:$AJ$39,21,)</f>
        <v>0</v>
      </c>
      <c r="F404" s="63">
        <f>VLOOKUP($B380,[3]Complaints!$A$4:$AJ$39,21,)</f>
        <v>0</v>
      </c>
      <c r="G404" s="63">
        <f>VLOOKUP($B380,[4]Complaints!$A$4:$AJ$39,21,)</f>
        <v>0</v>
      </c>
      <c r="H404" s="63">
        <f>VLOOKUP($B380,[5]Complaints!$A$4:$AJ$39,21,)</f>
        <v>0</v>
      </c>
      <c r="I404" s="63">
        <f>VLOOKUP($B380,[6]Complaints!$A$4:$AJ$39,21,)</f>
        <v>0</v>
      </c>
      <c r="J404" s="63">
        <f>VLOOKUP($B380,[7]Complaints!$A$4:$AJ$39,21,)</f>
        <v>0</v>
      </c>
      <c r="K404" s="63">
        <f>VLOOKUP($B380,[8]Complaints!$A$4:$AJ$39,21,)</f>
        <v>0</v>
      </c>
      <c r="L404" s="63">
        <f>VLOOKUP($B380,[9]Complaints!$A$4:$AJ$39,21,)</f>
        <v>1</v>
      </c>
      <c r="M404" s="63">
        <f>VLOOKUP($B380,[10]Complaints!$A$4:$AJ$39,21,)</f>
        <v>0</v>
      </c>
      <c r="N404" s="63">
        <f>VLOOKUP($B380,[11]Complaints!$A$4:$AJ$39,21,)</f>
        <v>0</v>
      </c>
      <c r="O404" s="64">
        <f>VLOOKUP($B380,[12]Complaints!$A$4:$AJ$39,21,)</f>
        <v>0</v>
      </c>
      <c r="P404" s="65">
        <f>SUM(D404:O404)</f>
        <v>1</v>
      </c>
      <c r="Q404" s="46">
        <f>IF(P404=0,"",P404/$P388)</f>
        <v>1</v>
      </c>
      <c r="R404" s="18"/>
    </row>
    <row r="405" spans="1:19" ht="15.75" customHeight="1" x14ac:dyDescent="0.2">
      <c r="B405" s="145"/>
      <c r="C405" s="38" t="s">
        <v>77</v>
      </c>
      <c r="D405" s="66">
        <f>VLOOKUP($B380,[1]Complaints!$A$4:$AJ$39,22,)</f>
        <v>0</v>
      </c>
      <c r="E405" s="67">
        <f>VLOOKUP($B380,[2]Complaints!$A$4:$AJ$39,22,)</f>
        <v>0</v>
      </c>
      <c r="F405" s="67">
        <f>VLOOKUP($B380,[3]Complaints!$A$4:$AJ$39,22,)</f>
        <v>0</v>
      </c>
      <c r="G405" s="67">
        <f>VLOOKUP($B380,[4]Complaints!$A$4:$AJ$39,22,)</f>
        <v>0</v>
      </c>
      <c r="H405" s="67">
        <f>VLOOKUP($B380,[5]Complaints!$A$4:$AJ$39,22,)</f>
        <v>0</v>
      </c>
      <c r="I405" s="67">
        <f>VLOOKUP($B380,[6]Complaints!$A$4:$AJ$39,22,)</f>
        <v>0</v>
      </c>
      <c r="J405" s="67">
        <f>VLOOKUP($B380,[7]Complaints!$A$4:$AJ$39,22,)</f>
        <v>0</v>
      </c>
      <c r="K405" s="67">
        <f>VLOOKUP($B380,[8]Complaints!$A$4:$AJ$39,22,)</f>
        <v>0</v>
      </c>
      <c r="L405" s="67">
        <f>VLOOKUP($B380,[9]Complaints!$A$4:$AJ$39,22,)</f>
        <v>0</v>
      </c>
      <c r="M405" s="67">
        <f>VLOOKUP($B380,[10]Complaints!$A$4:$AJ$39,22,)</f>
        <v>0</v>
      </c>
      <c r="N405" s="67">
        <f>VLOOKUP($B380,[11]Complaints!$A$4:$AJ$39,22,)</f>
        <v>0</v>
      </c>
      <c r="O405" s="68">
        <f>VLOOKUP($B380,[12]Complaints!$A$4:$AJ$39,22,)</f>
        <v>0</v>
      </c>
      <c r="P405" s="69">
        <f t="shared" ref="P405:P419" si="106">SUM(D405:O405)</f>
        <v>0</v>
      </c>
      <c r="Q405" s="70" t="str">
        <f>IF(P405=0,"",P405/$P388)</f>
        <v/>
      </c>
      <c r="R405" s="18"/>
    </row>
    <row r="406" spans="1:19" ht="15.75" customHeight="1" x14ac:dyDescent="0.2">
      <c r="B406" s="145"/>
      <c r="C406" s="38" t="s">
        <v>108</v>
      </c>
      <c r="D406" s="66">
        <f>VLOOKUP($B380,[1]Complaints!$A$4:$AJ$39,23,)</f>
        <v>0</v>
      </c>
      <c r="E406" s="67">
        <f>VLOOKUP($B380,[2]Complaints!$A$4:$AJ$39,23,)</f>
        <v>0</v>
      </c>
      <c r="F406" s="67">
        <f>VLOOKUP($B380,[3]Complaints!$A$4:$AJ$39,23,)</f>
        <v>0</v>
      </c>
      <c r="G406" s="67">
        <f>VLOOKUP($B380,[4]Complaints!$A$4:$AJ$39,23,)</f>
        <v>0</v>
      </c>
      <c r="H406" s="67">
        <f>VLOOKUP($B380,[5]Complaints!$A$4:$AJ$39,23,)</f>
        <v>0</v>
      </c>
      <c r="I406" s="67">
        <f>VLOOKUP($B380,[6]Complaints!$A$4:$AJ$39,23,)</f>
        <v>0</v>
      </c>
      <c r="J406" s="67">
        <f>VLOOKUP($B380,[7]Complaints!$A$4:$AJ$39,23,)</f>
        <v>0</v>
      </c>
      <c r="K406" s="67">
        <f>VLOOKUP($B380,[8]Complaints!$A$4:$AJ$39,23,)</f>
        <v>0</v>
      </c>
      <c r="L406" s="67">
        <f>VLOOKUP($B380,[9]Complaints!$A$4:$AJ$39,23,)</f>
        <v>1</v>
      </c>
      <c r="M406" s="67">
        <f>VLOOKUP($B380,[10]Complaints!$A$4:$AJ$39,23,)</f>
        <v>0</v>
      </c>
      <c r="N406" s="67">
        <f>VLOOKUP($B380,[11]Complaints!$A$4:$AJ$39,23,)</f>
        <v>0</v>
      </c>
      <c r="O406" s="68">
        <f>VLOOKUP($B380,[12]Complaints!$A$4:$AJ$39,23,)</f>
        <v>0</v>
      </c>
      <c r="P406" s="69">
        <f t="shared" si="106"/>
        <v>1</v>
      </c>
      <c r="Q406" s="70">
        <f>IF(P406=0,"",P406/$P388)</f>
        <v>1</v>
      </c>
      <c r="R406" s="18"/>
    </row>
    <row r="407" spans="1:19" ht="15.75" customHeight="1" x14ac:dyDescent="0.2">
      <c r="B407" s="145"/>
      <c r="C407" s="38" t="s">
        <v>88</v>
      </c>
      <c r="D407" s="66">
        <f>VLOOKUP($B380,[1]Complaints!$A$4:$AJ$39,24,)</f>
        <v>0</v>
      </c>
      <c r="E407" s="67">
        <f>VLOOKUP($B380,[2]Complaints!$A$4:$AJ$39,24,)</f>
        <v>0</v>
      </c>
      <c r="F407" s="67">
        <f>VLOOKUP($B380,[3]Complaints!$A$4:$AJ$39,24,)</f>
        <v>0</v>
      </c>
      <c r="G407" s="67">
        <f>VLOOKUP($B380,[4]Complaints!$A$4:$AJ$39,24,)</f>
        <v>0</v>
      </c>
      <c r="H407" s="67">
        <f>VLOOKUP($B380,[5]Complaints!$A$4:$AJ$39,24,)</f>
        <v>0</v>
      </c>
      <c r="I407" s="67">
        <f>VLOOKUP($B380,[6]Complaints!$A$4:$AJ$39,24,)</f>
        <v>0</v>
      </c>
      <c r="J407" s="67">
        <f>VLOOKUP($B380,[7]Complaints!$A$4:$AJ$39,24,)</f>
        <v>0</v>
      </c>
      <c r="K407" s="67">
        <f>VLOOKUP($B380,[8]Complaints!$A$4:$AJ$39,24,)</f>
        <v>0</v>
      </c>
      <c r="L407" s="67">
        <f>VLOOKUP($B380,[9]Complaints!$A$4:$AJ$39,24,)</f>
        <v>0</v>
      </c>
      <c r="M407" s="67">
        <f>VLOOKUP($B380,[10]Complaints!$A$4:$AJ$39,24,)</f>
        <v>0</v>
      </c>
      <c r="N407" s="67">
        <f>VLOOKUP($B380,[11]Complaints!$A$4:$AJ$39,24,)</f>
        <v>0</v>
      </c>
      <c r="O407" s="68">
        <f>VLOOKUP($B380,[12]Complaints!$A$4:$AJ$39,24,)</f>
        <v>0</v>
      </c>
      <c r="P407" s="69">
        <f t="shared" si="106"/>
        <v>0</v>
      </c>
      <c r="Q407" s="70" t="str">
        <f>IF(P407=0,"",P407/$P388)</f>
        <v/>
      </c>
      <c r="R407" s="18"/>
    </row>
    <row r="408" spans="1:19" ht="15.75" customHeight="1" x14ac:dyDescent="0.2">
      <c r="B408" s="145"/>
      <c r="C408" s="38" t="s">
        <v>109</v>
      </c>
      <c r="D408" s="66">
        <f>VLOOKUP($B380,[1]Complaints!$A$4:$AJ$39,25,)</f>
        <v>0</v>
      </c>
      <c r="E408" s="67">
        <f>VLOOKUP($B380,[2]Complaints!$A$4:$AJ$39,25,)</f>
        <v>0</v>
      </c>
      <c r="F408" s="67">
        <f>VLOOKUP($B380,[3]Complaints!$A$4:$AJ$39,25,)</f>
        <v>0</v>
      </c>
      <c r="G408" s="67">
        <f>VLOOKUP($B380,[4]Complaints!$A$4:$AJ$39,25,)</f>
        <v>0</v>
      </c>
      <c r="H408" s="67">
        <f>VLOOKUP($B380,[5]Complaints!$A$4:$AJ$39,25,)</f>
        <v>0</v>
      </c>
      <c r="I408" s="67">
        <f>VLOOKUP($B380,[6]Complaints!$A$4:$AJ$39,25,)</f>
        <v>0</v>
      </c>
      <c r="J408" s="67">
        <f>VLOOKUP($B380,[7]Complaints!$A$4:$AJ$39,25,)</f>
        <v>0</v>
      </c>
      <c r="K408" s="67">
        <f>VLOOKUP($B380,[8]Complaints!$A$4:$AJ$39,25,)</f>
        <v>0</v>
      </c>
      <c r="L408" s="67">
        <f>VLOOKUP($B380,[9]Complaints!$A$4:$AJ$39,25,)</f>
        <v>0</v>
      </c>
      <c r="M408" s="67">
        <f>VLOOKUP($B380,[10]Complaints!$A$4:$AJ$39,25,)</f>
        <v>0</v>
      </c>
      <c r="N408" s="67">
        <f>VLOOKUP($B380,[11]Complaints!$A$4:$AJ$39,25,)</f>
        <v>0</v>
      </c>
      <c r="O408" s="68">
        <f>VLOOKUP($B380,[12]Complaints!$A$4:$AJ$39,25,)</f>
        <v>0</v>
      </c>
      <c r="P408" s="69">
        <f t="shared" si="106"/>
        <v>0</v>
      </c>
      <c r="Q408" s="70" t="str">
        <f>IF(P408=0,"",P408/$P388)</f>
        <v/>
      </c>
      <c r="R408" s="18"/>
    </row>
    <row r="409" spans="1:19" ht="15.75" customHeight="1" x14ac:dyDescent="0.2">
      <c r="A409" s="21"/>
      <c r="B409" s="145"/>
      <c r="C409" s="38" t="s">
        <v>110</v>
      </c>
      <c r="D409" s="66">
        <f>VLOOKUP($B380,[1]Complaints!$A$4:$AJ$39,26,)</f>
        <v>0</v>
      </c>
      <c r="E409" s="67">
        <f>VLOOKUP($B380,[2]Complaints!$A$4:$AJ$39,26,)</f>
        <v>0</v>
      </c>
      <c r="F409" s="67">
        <f>VLOOKUP($B380,[3]Complaints!$A$4:$AJ$39,26,)</f>
        <v>0</v>
      </c>
      <c r="G409" s="67">
        <f>VLOOKUP($B380,[4]Complaints!$A$4:$AJ$39,26,)</f>
        <v>0</v>
      </c>
      <c r="H409" s="67">
        <f>VLOOKUP($B380,[5]Complaints!$A$4:$AJ$39,26,)</f>
        <v>0</v>
      </c>
      <c r="I409" s="67">
        <f>VLOOKUP($B380,[6]Complaints!$A$4:$AJ$39,26,)</f>
        <v>0</v>
      </c>
      <c r="J409" s="67">
        <f>VLOOKUP($B380,[7]Complaints!$A$4:$AJ$39,26,)</f>
        <v>0</v>
      </c>
      <c r="K409" s="67">
        <f>VLOOKUP($B380,[8]Complaints!$A$4:$AJ$39,26,)</f>
        <v>0</v>
      </c>
      <c r="L409" s="67">
        <f>VLOOKUP($B380,[9]Complaints!$A$4:$AJ$39,26,)</f>
        <v>0</v>
      </c>
      <c r="M409" s="67">
        <f>VLOOKUP($B380,[10]Complaints!$A$4:$AJ$39,26,)</f>
        <v>0</v>
      </c>
      <c r="N409" s="67">
        <f>VLOOKUP($B380,[11]Complaints!$A$4:$AJ$39,26,)</f>
        <v>0</v>
      </c>
      <c r="O409" s="68">
        <f>VLOOKUP($B380,[12]Complaints!$A$4:$AJ$39,26,)</f>
        <v>0</v>
      </c>
      <c r="P409" s="69">
        <f t="shared" si="106"/>
        <v>0</v>
      </c>
      <c r="Q409" s="70" t="str">
        <f>IF(P409=0,"",P409/$P388)</f>
        <v/>
      </c>
      <c r="R409" s="18"/>
    </row>
    <row r="410" spans="1:19" s="21" customFormat="1" ht="15.75" customHeight="1" x14ac:dyDescent="0.2">
      <c r="B410" s="145"/>
      <c r="C410" s="39" t="s">
        <v>107</v>
      </c>
      <c r="D410" s="71">
        <f>VLOOKUP($B380,[1]Complaints!$A$4:$AJ$39,27,)</f>
        <v>0</v>
      </c>
      <c r="E410" s="72">
        <f>VLOOKUP($B380,[2]Complaints!$A$4:$AJ$39,27,)</f>
        <v>0</v>
      </c>
      <c r="F410" s="72">
        <f>VLOOKUP($B380,[3]Complaints!$A$4:$AJ$39,27,)</f>
        <v>0</v>
      </c>
      <c r="G410" s="72">
        <f>VLOOKUP($B380,[4]Complaints!$A$4:$AJ$39,27,)</f>
        <v>0</v>
      </c>
      <c r="H410" s="72">
        <f>VLOOKUP($B380,[5]Complaints!$A$4:$AJ$39,27,)</f>
        <v>0</v>
      </c>
      <c r="I410" s="72">
        <f>VLOOKUP($B380,[6]Complaints!$A$4:$AJ$39,27,)</f>
        <v>0</v>
      </c>
      <c r="J410" s="72">
        <f>VLOOKUP($B380,[7]Complaints!$A$4:$AJ$39,27,)</f>
        <v>0</v>
      </c>
      <c r="K410" s="72">
        <f>VLOOKUP($B380,[8]Complaints!$A$4:$AJ$39,27,)</f>
        <v>0</v>
      </c>
      <c r="L410" s="72">
        <f>VLOOKUP($B380,[9]Complaints!$A$4:$AJ$39,27,)</f>
        <v>0</v>
      </c>
      <c r="M410" s="72">
        <f>VLOOKUP($B380,[10]Complaints!$A$4:$AJ$39,27,)</f>
        <v>0</v>
      </c>
      <c r="N410" s="72">
        <f>VLOOKUP($B380,[11]Complaints!$A$4:$AJ$39,27,)</f>
        <v>0</v>
      </c>
      <c r="O410" s="73">
        <f>VLOOKUP($B380,[12]Complaints!$A$4:$AJ$39,27,)</f>
        <v>0</v>
      </c>
      <c r="P410" s="69">
        <f t="shared" si="106"/>
        <v>0</v>
      </c>
      <c r="Q410" s="70" t="str">
        <f>IF(P410=0,"",P410/$P388)</f>
        <v/>
      </c>
      <c r="S410" s="18"/>
    </row>
    <row r="411" spans="1:19" ht="15.75" customHeight="1" x14ac:dyDescent="0.2">
      <c r="B411" s="145"/>
      <c r="C411" s="39" t="s">
        <v>87</v>
      </c>
      <c r="D411" s="71">
        <f>VLOOKUP($B380,[1]Complaints!$A$4:$AJ$39,28,)</f>
        <v>0</v>
      </c>
      <c r="E411" s="72">
        <f>VLOOKUP($B380,[2]Complaints!$A$4:$AJ$39,28,)</f>
        <v>0</v>
      </c>
      <c r="F411" s="72">
        <f>VLOOKUP($B380,[3]Complaints!$A$4:$AJ$39,28,)</f>
        <v>0</v>
      </c>
      <c r="G411" s="72">
        <f>VLOOKUP($B380,[4]Complaints!$A$4:$AJ$39,28,)</f>
        <v>0</v>
      </c>
      <c r="H411" s="72">
        <f>VLOOKUP($B380,[5]Complaints!$A$4:$AJ$39,28,)</f>
        <v>0</v>
      </c>
      <c r="I411" s="72">
        <f>VLOOKUP($B380,[6]Complaints!$A$4:$AJ$39,28,)</f>
        <v>0</v>
      </c>
      <c r="J411" s="72">
        <f>VLOOKUP($B380,[7]Complaints!$A$4:$AJ$39,28,)</f>
        <v>0</v>
      </c>
      <c r="K411" s="72">
        <f>VLOOKUP($B380,[8]Complaints!$A$4:$AJ$39,28,)</f>
        <v>0</v>
      </c>
      <c r="L411" s="72">
        <f>VLOOKUP($B380,[9]Complaints!$A$4:$AJ$39,28,)</f>
        <v>0</v>
      </c>
      <c r="M411" s="72">
        <f>VLOOKUP($B380,[10]Complaints!$A$4:$AJ$39,28,)</f>
        <v>0</v>
      </c>
      <c r="N411" s="72">
        <f>VLOOKUP($B380,[11]Complaints!$A$4:$AJ$39,28,)</f>
        <v>0</v>
      </c>
      <c r="O411" s="73">
        <f>VLOOKUP($B380,[12]Complaints!$A$4:$AJ$39,28,)</f>
        <v>0</v>
      </c>
      <c r="P411" s="69">
        <f t="shared" si="106"/>
        <v>0</v>
      </c>
      <c r="Q411" s="70" t="str">
        <f>IF(P411=0,"",P411/$P388)</f>
        <v/>
      </c>
      <c r="R411" s="18"/>
    </row>
    <row r="412" spans="1:19" ht="15.75" customHeight="1" x14ac:dyDescent="0.2">
      <c r="B412" s="145"/>
      <c r="C412" s="38" t="s">
        <v>111</v>
      </c>
      <c r="D412" s="66">
        <f>VLOOKUP($B380,[1]Complaints!$A$4:$AJ$39,29,)</f>
        <v>0</v>
      </c>
      <c r="E412" s="67">
        <f>VLOOKUP($B380,[2]Complaints!$A$4:$AJ$39,29,)</f>
        <v>0</v>
      </c>
      <c r="F412" s="67">
        <f>VLOOKUP($B380,[3]Complaints!$A$4:$AJ$39,29,)</f>
        <v>0</v>
      </c>
      <c r="G412" s="67">
        <f>VLOOKUP($B380,[4]Complaints!$A$4:$AJ$39,29,)</f>
        <v>0</v>
      </c>
      <c r="H412" s="67">
        <f>VLOOKUP($B380,[5]Complaints!$A$4:$AJ$39,29,)</f>
        <v>0</v>
      </c>
      <c r="I412" s="67">
        <f>VLOOKUP($B380,[6]Complaints!$A$4:$AJ$39,29,)</f>
        <v>0</v>
      </c>
      <c r="J412" s="67">
        <f>VLOOKUP($B380,[7]Complaints!$A$4:$AJ$39,29,)</f>
        <v>0</v>
      </c>
      <c r="K412" s="67">
        <f>VLOOKUP($B380,[8]Complaints!$A$4:$AJ$39,29,)</f>
        <v>0</v>
      </c>
      <c r="L412" s="67">
        <f>VLOOKUP($B380,[9]Complaints!$A$4:$AJ$39,29,)</f>
        <v>0</v>
      </c>
      <c r="M412" s="67">
        <f>VLOOKUP($B380,[10]Complaints!$A$4:$AJ$39,29,)</f>
        <v>0</v>
      </c>
      <c r="N412" s="67">
        <f>VLOOKUP($B380,[11]Complaints!$A$4:$AJ$39,29,)</f>
        <v>0</v>
      </c>
      <c r="O412" s="68">
        <f>VLOOKUP($B380,[12]Complaints!$A$4:$AJ$39,29,)</f>
        <v>0</v>
      </c>
      <c r="P412" s="69">
        <f t="shared" si="106"/>
        <v>0</v>
      </c>
      <c r="Q412" s="70" t="str">
        <f>IF(P412=0,"",P412/$P388)</f>
        <v/>
      </c>
      <c r="R412" s="18"/>
    </row>
    <row r="413" spans="1:19" ht="15.75" customHeight="1" x14ac:dyDescent="0.2">
      <c r="B413" s="145"/>
      <c r="C413" s="38" t="s">
        <v>112</v>
      </c>
      <c r="D413" s="66">
        <f>VLOOKUP($B380,[1]Complaints!$A$4:$AJ$39,30,)</f>
        <v>0</v>
      </c>
      <c r="E413" s="67">
        <f>VLOOKUP($B380,[2]Complaints!$A$4:$AJ$39,30,)</f>
        <v>0</v>
      </c>
      <c r="F413" s="67">
        <f>VLOOKUP($B380,[3]Complaints!$A$4:$AJ$39,30,)</f>
        <v>0</v>
      </c>
      <c r="G413" s="67">
        <f>VLOOKUP($B380,[4]Complaints!$A$4:$AJ$39,30,)</f>
        <v>0</v>
      </c>
      <c r="H413" s="67">
        <f>VLOOKUP($B380,[5]Complaints!$A$4:$AJ$39,30,)</f>
        <v>0</v>
      </c>
      <c r="I413" s="67">
        <f>VLOOKUP($B380,[6]Complaints!$A$4:$AJ$39,30,)</f>
        <v>0</v>
      </c>
      <c r="J413" s="67">
        <f>VLOOKUP($B380,[7]Complaints!$A$4:$AJ$39,30,)</f>
        <v>0</v>
      </c>
      <c r="K413" s="67">
        <f>VLOOKUP($B380,[8]Complaints!$A$4:$AJ$39,30,)</f>
        <v>0</v>
      </c>
      <c r="L413" s="67">
        <f>VLOOKUP($B380,[9]Complaints!$A$4:$AJ$39,30,)</f>
        <v>0</v>
      </c>
      <c r="M413" s="67">
        <f>VLOOKUP($B380,[10]Complaints!$A$4:$AJ$39,30,)</f>
        <v>0</v>
      </c>
      <c r="N413" s="67">
        <f>VLOOKUP($B380,[11]Complaints!$A$4:$AJ$39,30,)</f>
        <v>0</v>
      </c>
      <c r="O413" s="68">
        <f>VLOOKUP($B380,[12]Complaints!$A$4:$AJ$39,30,)</f>
        <v>0</v>
      </c>
      <c r="P413" s="69">
        <f t="shared" si="106"/>
        <v>0</v>
      </c>
      <c r="Q413" s="70" t="str">
        <f>IF(P413=0,"",P413/$P388)</f>
        <v/>
      </c>
      <c r="R413" s="18"/>
    </row>
    <row r="414" spans="1:19" ht="15.75" customHeight="1" x14ac:dyDescent="0.2">
      <c r="B414" s="146"/>
      <c r="C414" s="40" t="s">
        <v>119</v>
      </c>
      <c r="D414" s="74">
        <f>VLOOKUP($B380,[1]Complaints!$A$4:$AJ$39,31,)</f>
        <v>0</v>
      </c>
      <c r="E414" s="75">
        <f>VLOOKUP($B380,[2]Complaints!$A$4:$AJ$39,31,)</f>
        <v>0</v>
      </c>
      <c r="F414" s="75">
        <f>VLOOKUP($B380,[3]Complaints!$A$4:$AJ$39,31,)</f>
        <v>0</v>
      </c>
      <c r="G414" s="75">
        <f>VLOOKUP($B380,[4]Complaints!$A$4:$AJ$39,31,)</f>
        <v>0</v>
      </c>
      <c r="H414" s="75">
        <f>VLOOKUP($B380,[5]Complaints!$A$4:$AJ$39,31,)</f>
        <v>0</v>
      </c>
      <c r="I414" s="75">
        <f>VLOOKUP($B380,[6]Complaints!$A$4:$AJ$39,31,)</f>
        <v>0</v>
      </c>
      <c r="J414" s="75">
        <f>VLOOKUP($B380,[7]Complaints!$A$4:$AJ$39,31,)</f>
        <v>0</v>
      </c>
      <c r="K414" s="75">
        <f>VLOOKUP($B380,[8]Complaints!$A$4:$AJ$39,31,)</f>
        <v>0</v>
      </c>
      <c r="L414" s="75">
        <f>VLOOKUP($B380,[9]Complaints!$A$4:$AJ$39,31,)</f>
        <v>0</v>
      </c>
      <c r="M414" s="75">
        <f>VLOOKUP($B380,[10]Complaints!$A$4:$AJ$39,31,)</f>
        <v>0</v>
      </c>
      <c r="N414" s="75">
        <f>VLOOKUP($B380,[11]Complaints!$A$4:$AJ$39,31,)</f>
        <v>0</v>
      </c>
      <c r="O414" s="76">
        <f>VLOOKUP($B380,[12]Complaints!$A$4:$AJ$39,31,)</f>
        <v>0</v>
      </c>
      <c r="P414" s="77">
        <f t="shared" si="106"/>
        <v>0</v>
      </c>
      <c r="Q414" s="50" t="str">
        <f>IF(P414=0,"",P414/$P388)</f>
        <v/>
      </c>
      <c r="R414" s="18"/>
    </row>
    <row r="415" spans="1:19" ht="15.75" customHeight="1" x14ac:dyDescent="0.2">
      <c r="B415" s="146"/>
      <c r="C415" s="38" t="s">
        <v>113</v>
      </c>
      <c r="D415" s="66">
        <f>VLOOKUP($B380,[1]Complaints!$A$4:$AJ$39,32,)</f>
        <v>0</v>
      </c>
      <c r="E415" s="67">
        <f>VLOOKUP($B380,[2]Complaints!$A$4:$AJ$39,32,)</f>
        <v>0</v>
      </c>
      <c r="F415" s="67">
        <f>VLOOKUP($B380,[3]Complaints!$A$4:$AJ$39,32,)</f>
        <v>0</v>
      </c>
      <c r="G415" s="67">
        <f>VLOOKUP($B380,[4]Complaints!$A$4:$AJ$39,32,)</f>
        <v>0</v>
      </c>
      <c r="H415" s="67">
        <f>VLOOKUP($B380,[5]Complaints!$A$4:$AJ$39,32,)</f>
        <v>0</v>
      </c>
      <c r="I415" s="67">
        <f>VLOOKUP($B380,[6]Complaints!$A$4:$AJ$39,32,)</f>
        <v>0</v>
      </c>
      <c r="J415" s="67">
        <f>VLOOKUP($B380,[7]Complaints!$A$4:$AJ$39,32,)</f>
        <v>0</v>
      </c>
      <c r="K415" s="67">
        <f>VLOOKUP($B380,[8]Complaints!$A$4:$AJ$39,32,)</f>
        <v>0</v>
      </c>
      <c r="L415" s="67">
        <f>VLOOKUP($B380,[9]Complaints!$A$4:$AJ$39,32,)</f>
        <v>0</v>
      </c>
      <c r="M415" s="67">
        <f>VLOOKUP($B380,[10]Complaints!$A$4:$AJ$39,32,)</f>
        <v>0</v>
      </c>
      <c r="N415" s="67">
        <f>VLOOKUP($B380,[11]Complaints!$A$4:$AJ$39,32,)</f>
        <v>0</v>
      </c>
      <c r="O415" s="68">
        <f>VLOOKUP($B380,[12]Complaints!$A$4:$AJ$39,32,)</f>
        <v>0</v>
      </c>
      <c r="P415" s="69">
        <f t="shared" si="106"/>
        <v>0</v>
      </c>
      <c r="Q415" s="70" t="str">
        <f>IF(P415=0,"",P415/$P388)</f>
        <v/>
      </c>
      <c r="R415" s="18"/>
    </row>
    <row r="416" spans="1:19" ht="15.75" customHeight="1" x14ac:dyDescent="0.2">
      <c r="B416" s="146"/>
      <c r="C416" s="38" t="s">
        <v>114</v>
      </c>
      <c r="D416" s="66">
        <f>VLOOKUP($B380,[1]Complaints!$A$4:$AJ$39,33,)</f>
        <v>0</v>
      </c>
      <c r="E416" s="67">
        <f>VLOOKUP($B380,[2]Complaints!$A$4:$AJ$39,33,)</f>
        <v>0</v>
      </c>
      <c r="F416" s="67">
        <f>VLOOKUP($B380,[3]Complaints!$A$4:$AJ$39,33,)</f>
        <v>0</v>
      </c>
      <c r="G416" s="67">
        <f>VLOOKUP($B380,[4]Complaints!$A$4:$AJ$39,33,)</f>
        <v>0</v>
      </c>
      <c r="H416" s="67">
        <f>VLOOKUP($B380,[5]Complaints!$A$4:$AJ$39,33,)</f>
        <v>0</v>
      </c>
      <c r="I416" s="67">
        <f>VLOOKUP($B380,[6]Complaints!$A$4:$AJ$39,33,)</f>
        <v>0</v>
      </c>
      <c r="J416" s="67">
        <f>VLOOKUP($B380,[7]Complaints!$A$4:$AJ$39,33,)</f>
        <v>0</v>
      </c>
      <c r="K416" s="67">
        <f>VLOOKUP($B380,[8]Complaints!$A$4:$AJ$39,33,)</f>
        <v>0</v>
      </c>
      <c r="L416" s="67">
        <f>VLOOKUP($B380,[9]Complaints!$A$4:$AJ$39,33,)</f>
        <v>0</v>
      </c>
      <c r="M416" s="67">
        <f>VLOOKUP($B380,[10]Complaints!$A$4:$AJ$39,33,)</f>
        <v>0</v>
      </c>
      <c r="N416" s="67">
        <f>VLOOKUP($B380,[11]Complaints!$A$4:$AJ$39,33,)</f>
        <v>0</v>
      </c>
      <c r="O416" s="68">
        <f>VLOOKUP($B380,[12]Complaints!$A$4:$AJ$39,33,)</f>
        <v>0</v>
      </c>
      <c r="P416" s="69">
        <f t="shared" si="106"/>
        <v>0</v>
      </c>
      <c r="Q416" s="70" t="str">
        <f>IF(P416=0,"",P416/$P388)</f>
        <v/>
      </c>
      <c r="R416" s="18"/>
    </row>
    <row r="417" spans="2:19" ht="15.75" customHeight="1" x14ac:dyDescent="0.2">
      <c r="B417" s="146"/>
      <c r="C417" s="38" t="s">
        <v>115</v>
      </c>
      <c r="D417" s="66">
        <f>VLOOKUP($B380,[1]Complaints!$A$4:$AJ$39,34,)</f>
        <v>0</v>
      </c>
      <c r="E417" s="67">
        <f>VLOOKUP($B380,[2]Complaints!$A$4:$AJ$39,34,)</f>
        <v>0</v>
      </c>
      <c r="F417" s="67">
        <f>VLOOKUP($B380,[3]Complaints!$A$4:$AJ$39,34,)</f>
        <v>0</v>
      </c>
      <c r="G417" s="67">
        <f>VLOOKUP($B380,[4]Complaints!$A$4:$AJ$39,34,)</f>
        <v>0</v>
      </c>
      <c r="H417" s="67">
        <f>VLOOKUP($B380,[5]Complaints!$A$4:$AJ$39,34,)</f>
        <v>0</v>
      </c>
      <c r="I417" s="67">
        <f>VLOOKUP($B380,[6]Complaints!$A$4:$AJ$39,34,)</f>
        <v>0</v>
      </c>
      <c r="J417" s="67">
        <f>VLOOKUP($B380,[7]Complaints!$A$4:$AJ$39,34,)</f>
        <v>0</v>
      </c>
      <c r="K417" s="67">
        <f>VLOOKUP($B380,[8]Complaints!$A$4:$AJ$39,34,)</f>
        <v>0</v>
      </c>
      <c r="L417" s="67">
        <f>VLOOKUP($B380,[9]Complaints!$A$4:$AJ$39,34,)</f>
        <v>0</v>
      </c>
      <c r="M417" s="67">
        <f>VLOOKUP($B380,[10]Complaints!$A$4:$AJ$39,34,)</f>
        <v>0</v>
      </c>
      <c r="N417" s="67">
        <f>VLOOKUP($B380,[11]Complaints!$A$4:$AJ$39,34,)</f>
        <v>0</v>
      </c>
      <c r="O417" s="68">
        <f>VLOOKUP($B380,[12]Complaints!$A$4:$AJ$39,34,)</f>
        <v>0</v>
      </c>
      <c r="P417" s="69">
        <f t="shared" si="106"/>
        <v>0</v>
      </c>
      <c r="Q417" s="70" t="str">
        <f>IF(P417=0,"",P417/$P388)</f>
        <v/>
      </c>
      <c r="R417" s="18"/>
    </row>
    <row r="418" spans="2:19" ht="15.75" customHeight="1" x14ac:dyDescent="0.2">
      <c r="B418" s="146"/>
      <c r="C418" s="38" t="s">
        <v>116</v>
      </c>
      <c r="D418" s="66">
        <f>VLOOKUP($B380,[1]Complaints!$A$4:$AJ$39,35,)</f>
        <v>0</v>
      </c>
      <c r="E418" s="67">
        <f>VLOOKUP($B380,[2]Complaints!$A$4:$AJ$39,35,)</f>
        <v>0</v>
      </c>
      <c r="F418" s="67">
        <f>VLOOKUP($B380,[3]Complaints!$A$4:$AJ$39,35,)</f>
        <v>0</v>
      </c>
      <c r="G418" s="67">
        <f>VLOOKUP($B380,[4]Complaints!$A$4:$AJ$39,35,)</f>
        <v>0</v>
      </c>
      <c r="H418" s="67">
        <f>VLOOKUP($B380,[5]Complaints!$A$4:$AJ$39,35,)</f>
        <v>0</v>
      </c>
      <c r="I418" s="67">
        <f>VLOOKUP($B380,[6]Complaints!$A$4:$AJ$39,35,)</f>
        <v>0</v>
      </c>
      <c r="J418" s="67">
        <f>VLOOKUP($B380,[7]Complaints!$A$4:$AJ$39,35,)</f>
        <v>0</v>
      </c>
      <c r="K418" s="67">
        <f>VLOOKUP($B380,[8]Complaints!$A$4:$AJ$39,35,)</f>
        <v>0</v>
      </c>
      <c r="L418" s="67">
        <f>VLOOKUP($B380,[9]Complaints!$A$4:$AJ$39,35,)</f>
        <v>0</v>
      </c>
      <c r="M418" s="67">
        <f>VLOOKUP($B380,[10]Complaints!$A$4:$AJ$39,35,)</f>
        <v>0</v>
      </c>
      <c r="N418" s="67">
        <f>VLOOKUP($B380,[11]Complaints!$A$4:$AJ$39,35,)</f>
        <v>0</v>
      </c>
      <c r="O418" s="68">
        <f>VLOOKUP($B380,[12]Complaints!$A$4:$AJ$39,35,)</f>
        <v>0</v>
      </c>
      <c r="P418" s="69">
        <f t="shared" si="106"/>
        <v>0</v>
      </c>
      <c r="Q418" s="70" t="str">
        <f>IF(P418=0,"",P418/$P388)</f>
        <v/>
      </c>
      <c r="R418" s="18"/>
    </row>
    <row r="419" spans="2:19" ht="15.75" customHeight="1" thickBot="1" x14ac:dyDescent="0.25">
      <c r="B419" s="147"/>
      <c r="C419" s="41" t="s">
        <v>117</v>
      </c>
      <c r="D419" s="78">
        <f>VLOOKUP($B380,[1]Complaints!$A$4:$AJ$39,36,)</f>
        <v>0</v>
      </c>
      <c r="E419" s="79">
        <f>VLOOKUP($B380,[2]Complaints!$A$4:$AJ$39,36,)</f>
        <v>0</v>
      </c>
      <c r="F419" s="79">
        <f>VLOOKUP($B380,[3]Complaints!$A$4:$AJ$39,36,)</f>
        <v>0</v>
      </c>
      <c r="G419" s="79">
        <f>VLOOKUP($B380,[4]Complaints!$A$4:$AJ$39,36,)</f>
        <v>0</v>
      </c>
      <c r="H419" s="79">
        <f>VLOOKUP($B380,[5]Complaints!$A$4:$AJ$39,36,)</f>
        <v>0</v>
      </c>
      <c r="I419" s="79">
        <f>VLOOKUP($B380,[6]Complaints!$A$4:$AJ$39,36,)</f>
        <v>0</v>
      </c>
      <c r="J419" s="79">
        <f>VLOOKUP($B380,[7]Complaints!$A$4:$AJ$39,36,)</f>
        <v>0</v>
      </c>
      <c r="K419" s="79">
        <f>VLOOKUP($B380,[8]Complaints!$A$4:$AJ$39,36,)</f>
        <v>0</v>
      </c>
      <c r="L419" s="79">
        <f>VLOOKUP($B380,[9]Complaints!$A$4:$AJ$39,36,)</f>
        <v>0</v>
      </c>
      <c r="M419" s="79">
        <f>VLOOKUP($B380,[10]Complaints!$A$4:$AJ$39,36,)</f>
        <v>0</v>
      </c>
      <c r="N419" s="79">
        <f>VLOOKUP($B380,[11]Complaints!$A$4:$AJ$39,36,)</f>
        <v>0</v>
      </c>
      <c r="O419" s="80">
        <f>VLOOKUP($B380,[12]Complaints!$A$4:$AJ$39,36,)</f>
        <v>0</v>
      </c>
      <c r="P419" s="81">
        <f t="shared" si="106"/>
        <v>0</v>
      </c>
      <c r="Q419" s="82" t="str">
        <f>IF(P419=0,"",P419/$P388)</f>
        <v/>
      </c>
      <c r="R419" s="18"/>
    </row>
    <row r="420" spans="2:19" ht="15.75" customHeight="1" thickBot="1" x14ac:dyDescent="0.25">
      <c r="R420" s="18"/>
    </row>
    <row r="421" spans="2:19" ht="15.75" customHeight="1" x14ac:dyDescent="0.25">
      <c r="B421" s="158" t="s">
        <v>44</v>
      </c>
      <c r="C421" s="159"/>
      <c r="D421" s="32" t="s">
        <v>0</v>
      </c>
      <c r="E421" s="20" t="s">
        <v>1</v>
      </c>
      <c r="F421" s="20" t="s">
        <v>2</v>
      </c>
      <c r="G421" s="20" t="s">
        <v>3</v>
      </c>
      <c r="H421" s="20" t="s">
        <v>4</v>
      </c>
      <c r="I421" s="20" t="s">
        <v>5</v>
      </c>
      <c r="J421" s="20" t="s">
        <v>6</v>
      </c>
      <c r="K421" s="20" t="s">
        <v>7</v>
      </c>
      <c r="L421" s="20" t="s">
        <v>8</v>
      </c>
      <c r="M421" s="20" t="s">
        <v>9</v>
      </c>
      <c r="N421" s="20" t="s">
        <v>10</v>
      </c>
      <c r="O421" s="33" t="s">
        <v>11</v>
      </c>
      <c r="P421" s="35" t="s">
        <v>12</v>
      </c>
      <c r="Q421" s="160" t="s">
        <v>104</v>
      </c>
      <c r="R421" s="18"/>
      <c r="S421" s="19"/>
    </row>
    <row r="422" spans="2:19" ht="15.75" customHeight="1" thickBot="1" x14ac:dyDescent="0.3">
      <c r="B422" s="162" t="s">
        <v>64</v>
      </c>
      <c r="C422" s="163"/>
      <c r="D422" s="34">
        <v>2020</v>
      </c>
      <c r="E422" s="34">
        <v>2020</v>
      </c>
      <c r="F422" s="34">
        <v>2020</v>
      </c>
      <c r="G422" s="34">
        <v>2020</v>
      </c>
      <c r="H422" s="34">
        <v>2020</v>
      </c>
      <c r="I422" s="34">
        <v>2020</v>
      </c>
      <c r="J422" s="34">
        <v>2020</v>
      </c>
      <c r="K422" s="34">
        <v>2020</v>
      </c>
      <c r="L422" s="34">
        <v>2020</v>
      </c>
      <c r="M422" s="25">
        <v>2021</v>
      </c>
      <c r="N422" s="25">
        <v>2021</v>
      </c>
      <c r="O422" s="25">
        <v>2021</v>
      </c>
      <c r="P422" s="36" t="s">
        <v>122</v>
      </c>
      <c r="Q422" s="161"/>
      <c r="R422" s="18"/>
    </row>
    <row r="423" spans="2:19" ht="12.75" customHeight="1" thickBot="1" x14ac:dyDescent="0.25">
      <c r="B423" s="164" t="s">
        <v>38</v>
      </c>
      <c r="C423" s="165"/>
      <c r="D423" s="42">
        <f>VLOOKUP($B422,[1]Complaints!$A$4:$AJ$39,2,)</f>
        <v>327</v>
      </c>
      <c r="E423" s="43">
        <f>VLOOKUP($B422,[2]Complaints!$A$4:$AJ$39,2,)</f>
        <v>504</v>
      </c>
      <c r="F423" s="43">
        <f>VLOOKUP($B422,[3]Complaints!$A$4:$AJ$39,2)</f>
        <v>835</v>
      </c>
      <c r="G423" s="43">
        <f>VLOOKUP($B422,[4]Complaints!$A$4:$AJ$39,2)</f>
        <v>1395</v>
      </c>
      <c r="H423" s="43">
        <f>VLOOKUP($B422,[5]Complaints!$A$4:$AJ$39,2)</f>
        <v>1674</v>
      </c>
      <c r="I423" s="43">
        <f>VLOOKUP($B422,[6]Complaints!$A$4:$AJ$39,2)</f>
        <v>1941</v>
      </c>
      <c r="J423" s="43">
        <f>VLOOKUP($B422,[7]Complaints!$A$4:$AJ$39,2)</f>
        <v>1978</v>
      </c>
      <c r="K423" s="43">
        <f>VLOOKUP($B422,[8]Complaints!$A$4:$AJ$39,2)</f>
        <v>1978</v>
      </c>
      <c r="L423" s="43">
        <f>VLOOKUP($B422,[9]Complaints!$A$4:$AJ$39,2)</f>
        <v>1638</v>
      </c>
      <c r="M423" s="43">
        <f>VLOOKUP($B422,[10]Complaints!$A$4:$AJ$39,2)</f>
        <v>1136</v>
      </c>
      <c r="N423" s="43">
        <f>VLOOKUP($B422,[11]Complaints!$A$4:$AJ$39,2)</f>
        <v>0</v>
      </c>
      <c r="O423" s="44">
        <f>VLOOKUP($B422,[12]Complaints!$A$4:$AJ$39,2)</f>
        <v>0</v>
      </c>
      <c r="P423" s="45">
        <f>SUM(D423:O423)</f>
        <v>13406</v>
      </c>
      <c r="Q423" s="46"/>
      <c r="R423" s="18"/>
    </row>
    <row r="424" spans="2:19" ht="15.75" customHeight="1" x14ac:dyDescent="0.2">
      <c r="B424" s="166" t="s">
        <v>94</v>
      </c>
      <c r="C424" s="167"/>
      <c r="D424" s="47">
        <f>VLOOKUP($B422,[1]Complaints!$A$4:$AF$39,3,)</f>
        <v>0</v>
      </c>
      <c r="E424" s="48">
        <f>VLOOKUP($B422,[2]Complaints!$A$4:$AF$39,3,)</f>
        <v>1</v>
      </c>
      <c r="F424" s="48">
        <f>VLOOKUP($B422,[3]Complaints!$A$4:$AG$39,3,)</f>
        <v>0</v>
      </c>
      <c r="G424" s="48">
        <f>VLOOKUP($B422,[4]Complaints!$A$4:$AG$39,3,)</f>
        <v>1</v>
      </c>
      <c r="H424" s="48">
        <f>VLOOKUP($B422,[5]Complaints!$A$4:$AG$39,3,)</f>
        <v>2</v>
      </c>
      <c r="I424" s="48">
        <f>VLOOKUP($B422,[6]Complaints!$A$4:$AG$39,3,)</f>
        <v>0</v>
      </c>
      <c r="J424" s="48">
        <f>VLOOKUP($B422,[7]Complaints!$A$4:$AG$39,3,)</f>
        <v>1</v>
      </c>
      <c r="K424" s="48">
        <f>VLOOKUP($B422,[8]Complaints!$A$4:$AG$39,3,)</f>
        <v>1</v>
      </c>
      <c r="L424" s="48">
        <f>VLOOKUP($B422,[9]Complaints!$A$4:$AG$39,3,)</f>
        <v>0</v>
      </c>
      <c r="M424" s="48">
        <f>VLOOKUP($B422,[10]Complaints!$A$4:$AG$39,3,)</f>
        <v>0</v>
      </c>
      <c r="N424" s="48">
        <f>VLOOKUP($B422,[11]Complaints!$A$4:$AG$39,3,)</f>
        <v>0</v>
      </c>
      <c r="O424" s="49">
        <f>VLOOKUP($B422,[12]Complaints!$A$4:$AG$39,3,)</f>
        <v>0</v>
      </c>
      <c r="P424" s="45">
        <f>SUM(D424:O424)</f>
        <v>6</v>
      </c>
      <c r="Q424" s="50"/>
      <c r="R424" s="18"/>
    </row>
    <row r="425" spans="2:19" ht="15.75" customHeight="1" x14ac:dyDescent="0.2">
      <c r="B425" s="26"/>
      <c r="C425" s="28" t="s">
        <v>102</v>
      </c>
      <c r="D425" s="51">
        <f>IF(D423=0,"",D424/D423)</f>
        <v>0</v>
      </c>
      <c r="E425" s="52">
        <f t="shared" ref="E425:O425" si="107">IF(E423=0,"",E424/E423)</f>
        <v>1.984126984126984E-3</v>
      </c>
      <c r="F425" s="52">
        <f t="shared" si="107"/>
        <v>0</v>
      </c>
      <c r="G425" s="52">
        <f t="shared" si="107"/>
        <v>7.1684587813620072E-4</v>
      </c>
      <c r="H425" s="52">
        <f t="shared" si="107"/>
        <v>1.1947431302270011E-3</v>
      </c>
      <c r="I425" s="52">
        <f t="shared" si="107"/>
        <v>0</v>
      </c>
      <c r="J425" s="52">
        <f t="shared" si="107"/>
        <v>5.0556117290192115E-4</v>
      </c>
      <c r="K425" s="52">
        <f t="shared" si="107"/>
        <v>5.0556117290192115E-4</v>
      </c>
      <c r="L425" s="52">
        <f t="shared" si="107"/>
        <v>0</v>
      </c>
      <c r="M425" s="52">
        <f t="shared" si="107"/>
        <v>0</v>
      </c>
      <c r="N425" s="52" t="str">
        <f t="shared" si="107"/>
        <v/>
      </c>
      <c r="O425" s="53" t="str">
        <f t="shared" si="107"/>
        <v/>
      </c>
      <c r="P425" s="54">
        <f>IF(P424="","",P424/P423)</f>
        <v>4.4756079367447413E-4</v>
      </c>
      <c r="Q425" s="50"/>
      <c r="R425" s="18"/>
    </row>
    <row r="426" spans="2:19" s="21" customFormat="1" ht="15.75" customHeight="1" x14ac:dyDescent="0.2">
      <c r="B426" s="155" t="s">
        <v>95</v>
      </c>
      <c r="C426" s="156"/>
      <c r="D426" s="47">
        <f>VLOOKUP($B422,[1]Complaints!$A$4:$AF$39,4,)</f>
        <v>0</v>
      </c>
      <c r="E426" s="48">
        <f>VLOOKUP($B422,[2]Complaints!$A$4:$AF$39,4,)</f>
        <v>1</v>
      </c>
      <c r="F426" s="48">
        <f>VLOOKUP($B422,[3]Complaints!$A$4:$AG$39,4,)</f>
        <v>0</v>
      </c>
      <c r="G426" s="48">
        <f>VLOOKUP($B422,[4]Complaints!$A$4:$AG$39,4,)</f>
        <v>0</v>
      </c>
      <c r="H426" s="48">
        <f>VLOOKUP($B422,[5]Complaints!$A$4:$AG$39,4,)</f>
        <v>1</v>
      </c>
      <c r="I426" s="48">
        <f>VLOOKUP($B422,[6]Complaints!$A$4:$AG$39,4,)</f>
        <v>0</v>
      </c>
      <c r="J426" s="48">
        <f>VLOOKUP($B422,[7]Complaints!$A$4:$AG$39,4,)</f>
        <v>1</v>
      </c>
      <c r="K426" s="48">
        <f>VLOOKUP($B422,[8]Complaints!$A$4:$AG$39,4,)</f>
        <v>1</v>
      </c>
      <c r="L426" s="48">
        <f>VLOOKUP($B422,[9]Complaints!$A$4:$AG$39,4,)</f>
        <v>0</v>
      </c>
      <c r="M426" s="48">
        <f>VLOOKUP($B422,[10]Complaints!$A$4:$AG$39,4,)</f>
        <v>0</v>
      </c>
      <c r="N426" s="48">
        <f>VLOOKUP($B422,[11]Complaints!$A$4:$AG$39,4,)</f>
        <v>0</v>
      </c>
      <c r="O426" s="49">
        <f>VLOOKUP($B422,[12]Complaints!$A$4:$AG$39,4,)</f>
        <v>0</v>
      </c>
      <c r="P426" s="55">
        <f t="shared" ref="P426" si="108">SUM(D426:O426)</f>
        <v>4</v>
      </c>
      <c r="Q426" s="50"/>
    </row>
    <row r="427" spans="2:19" ht="15.75" customHeight="1" x14ac:dyDescent="0.2">
      <c r="B427" s="26"/>
      <c r="C427" s="28" t="s">
        <v>98</v>
      </c>
      <c r="D427" s="51">
        <f>IF(D423=0,"",D426/D423)</f>
        <v>0</v>
      </c>
      <c r="E427" s="52">
        <f t="shared" ref="E427:O427" si="109">IF(E423=0,"",E426/E423)</f>
        <v>1.984126984126984E-3</v>
      </c>
      <c r="F427" s="52">
        <f t="shared" si="109"/>
        <v>0</v>
      </c>
      <c r="G427" s="52">
        <f t="shared" si="109"/>
        <v>0</v>
      </c>
      <c r="H427" s="52">
        <f t="shared" si="109"/>
        <v>5.9737156511350056E-4</v>
      </c>
      <c r="I427" s="52">
        <f t="shared" si="109"/>
        <v>0</v>
      </c>
      <c r="J427" s="52">
        <f t="shared" si="109"/>
        <v>5.0556117290192115E-4</v>
      </c>
      <c r="K427" s="52">
        <f t="shared" si="109"/>
        <v>5.0556117290192115E-4</v>
      </c>
      <c r="L427" s="52">
        <f t="shared" si="109"/>
        <v>0</v>
      </c>
      <c r="M427" s="52">
        <f t="shared" si="109"/>
        <v>0</v>
      </c>
      <c r="N427" s="52" t="str">
        <f t="shared" si="109"/>
        <v/>
      </c>
      <c r="O427" s="53" t="str">
        <f t="shared" si="109"/>
        <v/>
      </c>
      <c r="P427" s="54">
        <f>IF(P426="","",P426/P423)</f>
        <v>2.983738624496494E-4</v>
      </c>
      <c r="Q427" s="50"/>
      <c r="R427" s="18"/>
    </row>
    <row r="428" spans="2:19" ht="15.75" customHeight="1" x14ac:dyDescent="0.2">
      <c r="B428" s="155" t="s">
        <v>96</v>
      </c>
      <c r="C428" s="156"/>
      <c r="D428" s="47">
        <f>VLOOKUP($B422,[1]Complaints!$A$4:$AF$39,5,)</f>
        <v>0</v>
      </c>
      <c r="E428" s="48">
        <f>VLOOKUP($B422,[2]Complaints!$A$4:$AF$39,5,)</f>
        <v>0</v>
      </c>
      <c r="F428" s="48">
        <f>VLOOKUP($B422,[3]Complaints!$A$4:$AG$39,5,)</f>
        <v>0</v>
      </c>
      <c r="G428" s="48">
        <f>VLOOKUP($B422,[4]Complaints!$A$4:$AG$39,5,)</f>
        <v>1</v>
      </c>
      <c r="H428" s="48">
        <f>VLOOKUP($B422,[5]Complaints!$A$4:$AG$39,5,)</f>
        <v>1</v>
      </c>
      <c r="I428" s="48">
        <f>VLOOKUP($B422,[6]Complaints!$A$4:$AG$39,5,)</f>
        <v>0</v>
      </c>
      <c r="J428" s="48">
        <f>VLOOKUP($B422,[7]Complaints!$A$4:$AG$39,5,)</f>
        <v>0</v>
      </c>
      <c r="K428" s="48">
        <f>VLOOKUP($B422,[8]Complaints!$A$4:$AG$39,5,)</f>
        <v>0</v>
      </c>
      <c r="L428" s="48">
        <f>VLOOKUP($B422,[9]Complaints!$A$4:$AG$39,5,)</f>
        <v>0</v>
      </c>
      <c r="M428" s="48">
        <f>VLOOKUP($B422,[10]Complaints!$A$4:$AG$39,5,)</f>
        <v>0</v>
      </c>
      <c r="N428" s="48">
        <f>VLOOKUP($B422,[11]Complaints!$A$4:$AG$39,5,)</f>
        <v>0</v>
      </c>
      <c r="O428" s="49">
        <f>VLOOKUP($B422,[12]Complaints!$A$4:$AG$39,5,)</f>
        <v>0</v>
      </c>
      <c r="P428" s="55">
        <f t="shared" ref="P428" si="110">SUM(D428:O428)</f>
        <v>2</v>
      </c>
      <c r="Q428" s="50"/>
      <c r="R428" s="18"/>
    </row>
    <row r="429" spans="2:19" ht="15.75" customHeight="1" x14ac:dyDescent="0.2">
      <c r="B429" s="26"/>
      <c r="C429" s="28" t="s">
        <v>99</v>
      </c>
      <c r="D429" s="51">
        <f>IF(D423=0,"",D428/D423)</f>
        <v>0</v>
      </c>
      <c r="E429" s="52">
        <f t="shared" ref="E429:O429" si="111">IF(E423=0,"",E428/E423)</f>
        <v>0</v>
      </c>
      <c r="F429" s="52">
        <f t="shared" si="111"/>
        <v>0</v>
      </c>
      <c r="G429" s="52">
        <f t="shared" si="111"/>
        <v>7.1684587813620072E-4</v>
      </c>
      <c r="H429" s="52">
        <f t="shared" si="111"/>
        <v>5.9737156511350056E-4</v>
      </c>
      <c r="I429" s="52">
        <f t="shared" si="111"/>
        <v>0</v>
      </c>
      <c r="J429" s="52">
        <f t="shared" si="111"/>
        <v>0</v>
      </c>
      <c r="K429" s="52">
        <f t="shared" si="111"/>
        <v>0</v>
      </c>
      <c r="L429" s="52">
        <f t="shared" si="111"/>
        <v>0</v>
      </c>
      <c r="M429" s="52">
        <f t="shared" si="111"/>
        <v>0</v>
      </c>
      <c r="N429" s="52" t="str">
        <f t="shared" si="111"/>
        <v/>
      </c>
      <c r="O429" s="53" t="str">
        <f t="shared" si="111"/>
        <v/>
      </c>
      <c r="P429" s="54">
        <f>IF(P428="","",P428/P423)</f>
        <v>1.491869312248247E-4</v>
      </c>
      <c r="Q429" s="50"/>
      <c r="R429" s="18"/>
    </row>
    <row r="430" spans="2:19" ht="15.75" customHeight="1" x14ac:dyDescent="0.2">
      <c r="B430" s="157" t="s">
        <v>97</v>
      </c>
      <c r="C430" s="156"/>
      <c r="D430" s="47">
        <f>VLOOKUP($B422,[1]Complaints!$A$4:$AF$39,6,)</f>
        <v>0</v>
      </c>
      <c r="E430" s="48">
        <f>VLOOKUP($B422,[2]Complaints!$A$4:$AF$39,6,)</f>
        <v>0</v>
      </c>
      <c r="F430" s="48">
        <f>VLOOKUP($B422,[3]Complaints!$A$4:$AG$39,6,)</f>
        <v>0</v>
      </c>
      <c r="G430" s="48">
        <f>VLOOKUP($B422,[4]Complaints!$A$4:$AG$39,6,)</f>
        <v>1</v>
      </c>
      <c r="H430" s="48">
        <f>VLOOKUP($B422,[5]Complaints!$A$4:$AG$39,6,)</f>
        <v>2</v>
      </c>
      <c r="I430" s="48">
        <f>VLOOKUP($B422,[6]Complaints!$A$4:$AG$39,6,)</f>
        <v>0</v>
      </c>
      <c r="J430" s="48">
        <f>VLOOKUP($B422,[7]Complaints!$A$4:$AG$39,6,)</f>
        <v>0</v>
      </c>
      <c r="K430" s="48">
        <f>VLOOKUP($B422,[8]Complaints!$A$4:$AG$39,6,)</f>
        <v>0</v>
      </c>
      <c r="L430" s="48">
        <f>VLOOKUP($B422,[9]Complaints!$A$4:$AG$39,6,)</f>
        <v>0</v>
      </c>
      <c r="M430" s="48">
        <f>VLOOKUP($B422,[10]Complaints!$A$4:$AG$39,6,)</f>
        <v>0</v>
      </c>
      <c r="N430" s="48">
        <f>VLOOKUP($B422,[11]Complaints!$A$4:$AG$39,6,)</f>
        <v>0</v>
      </c>
      <c r="O430" s="49">
        <f>VLOOKUP($B422,[12]Complaints!$A$4:$AG$39,6,)</f>
        <v>0</v>
      </c>
      <c r="P430" s="55">
        <f t="shared" ref="P430" si="112">SUM(D430:O430)</f>
        <v>3</v>
      </c>
      <c r="Q430" s="50"/>
      <c r="R430" s="18"/>
    </row>
    <row r="431" spans="2:19" ht="15.75" customHeight="1" thickBot="1" x14ac:dyDescent="0.25">
      <c r="B431" s="27"/>
      <c r="C431" s="29" t="s">
        <v>100</v>
      </c>
      <c r="D431" s="56" t="str">
        <f>IF(D430=0,"",D430/D428)</f>
        <v/>
      </c>
      <c r="E431" s="57" t="str">
        <f t="shared" ref="E431:H431" si="113">IF(E430=0,"",E430/E428)</f>
        <v/>
      </c>
      <c r="F431" s="57" t="str">
        <f t="shared" si="113"/>
        <v/>
      </c>
      <c r="G431" s="57">
        <f t="shared" si="113"/>
        <v>1</v>
      </c>
      <c r="H431" s="57">
        <f t="shared" si="113"/>
        <v>2</v>
      </c>
      <c r="I431" s="57" t="str">
        <f>IF(I430=0,"",I430/I428)</f>
        <v/>
      </c>
      <c r="J431" s="57" t="str">
        <f t="shared" ref="J431:O431" si="114">IF(J430=0,"",J430/J428)</f>
        <v/>
      </c>
      <c r="K431" s="57" t="str">
        <f t="shared" si="114"/>
        <v/>
      </c>
      <c r="L431" s="57" t="str">
        <f t="shared" si="114"/>
        <v/>
      </c>
      <c r="M431" s="57" t="str">
        <f t="shared" si="114"/>
        <v/>
      </c>
      <c r="N431" s="57" t="str">
        <f t="shared" si="114"/>
        <v/>
      </c>
      <c r="O431" s="58" t="str">
        <f t="shared" si="114"/>
        <v/>
      </c>
      <c r="P431" s="59">
        <f>IF(P430=0,"",P430/P428)</f>
        <v>1.5</v>
      </c>
      <c r="Q431" s="60"/>
      <c r="R431" s="18"/>
    </row>
    <row r="432" spans="2:19" ht="15.75" customHeight="1" x14ac:dyDescent="0.2">
      <c r="B432" s="168" t="s">
        <v>103</v>
      </c>
      <c r="C432" s="30" t="s">
        <v>77</v>
      </c>
      <c r="D432" s="61">
        <f>VLOOKUP($B422,[1]Complaints!$A$4:$AJ$39,7,)</f>
        <v>0</v>
      </c>
      <c r="E432" s="43">
        <f>VLOOKUP($B422,[2]Complaints!$A$4:$AJ$39,7,)</f>
        <v>0</v>
      </c>
      <c r="F432" s="43">
        <f>VLOOKUP($B422,[3]Complaints!$A$4:$AJ$39,7,)</f>
        <v>0</v>
      </c>
      <c r="G432" s="43">
        <f>VLOOKUP($B422,[4]Complaints!$A$4:$AJ$39,7,)</f>
        <v>0</v>
      </c>
      <c r="H432" s="43">
        <f>VLOOKUP($B422,[5]Complaints!$A$4:$AJ$39,7,)</f>
        <v>1</v>
      </c>
      <c r="I432" s="43">
        <f>VLOOKUP($B422,[6]Complaints!$A$4:$AJ$39,7,)</f>
        <v>0</v>
      </c>
      <c r="J432" s="43">
        <f>VLOOKUP($B422,[7]Complaints!$A$4:$AJ$39,7,)</f>
        <v>0</v>
      </c>
      <c r="K432" s="43">
        <f>VLOOKUP($B422,[8]Complaints!$A$4:$AJ$39,7,)</f>
        <v>0</v>
      </c>
      <c r="L432" s="43">
        <f>VLOOKUP($B422,[9]Complaints!$A$4:$AJ$39,7,)</f>
        <v>0</v>
      </c>
      <c r="M432" s="43">
        <f>VLOOKUP($B422,[10]Complaints!$A$4:$AJ$39,7,)</f>
        <v>0</v>
      </c>
      <c r="N432" s="43">
        <f>VLOOKUP($B422,[11]Complaints!$A$4:$AJ$39,7,)</f>
        <v>0</v>
      </c>
      <c r="O432" s="44">
        <f>VLOOKUP($B422,[12]Complaints!$A$4:$AJ$39,7,)</f>
        <v>0</v>
      </c>
      <c r="P432" s="45">
        <f>SUM(D432:O432)</f>
        <v>1</v>
      </c>
      <c r="Q432" s="46">
        <f>IF(P432=0,"",P432/$P424)</f>
        <v>0.16666666666666666</v>
      </c>
      <c r="R432" s="18"/>
    </row>
    <row r="433" spans="2:18" ht="15.75" customHeight="1" x14ac:dyDescent="0.2">
      <c r="B433" s="169"/>
      <c r="C433" s="31" t="s">
        <v>89</v>
      </c>
      <c r="D433" s="47">
        <f>VLOOKUP($B422,[1]Complaints!$A$4:$AJ$39,8,)</f>
        <v>0</v>
      </c>
      <c r="E433" s="48">
        <f>VLOOKUP($B422,[2]Complaints!$A$4:$AJ$39,8,)</f>
        <v>0</v>
      </c>
      <c r="F433" s="48">
        <f>VLOOKUP($B422,[3]Complaints!$A$4:$AJ$39,8,)</f>
        <v>0</v>
      </c>
      <c r="G433" s="48">
        <f>VLOOKUP($B422,[4]Complaints!$A$4:$AJ$39,8,)</f>
        <v>0</v>
      </c>
      <c r="H433" s="48">
        <f>VLOOKUP($B422,[5]Complaints!$A$4:$AJ$39,8,)</f>
        <v>1</v>
      </c>
      <c r="I433" s="48">
        <f>VLOOKUP($B422,[6]Complaints!$A$4:$AJ$39,8,)</f>
        <v>0</v>
      </c>
      <c r="J433" s="48">
        <f>VLOOKUP($B422,[7]Complaints!$A$4:$AJ$39,8,)</f>
        <v>0</v>
      </c>
      <c r="K433" s="48">
        <f>VLOOKUP($B422,[8]Complaints!$A$4:$AJ$39,8,)</f>
        <v>0</v>
      </c>
      <c r="L433" s="48">
        <f>VLOOKUP($B422,[9]Complaints!$A$4:$AJ$39,8,)</f>
        <v>0</v>
      </c>
      <c r="M433" s="48">
        <f>VLOOKUP($B422,[10]Complaints!$A$4:$AJ$39,8,)</f>
        <v>0</v>
      </c>
      <c r="N433" s="48">
        <f>VLOOKUP($B422,[11]Complaints!$A$4:$AJ$39,8,)</f>
        <v>0</v>
      </c>
      <c r="O433" s="49">
        <f>VLOOKUP($B422,[12]Complaints!$A$4:$AJ$39,8,)</f>
        <v>0</v>
      </c>
      <c r="P433" s="55">
        <f t="shared" ref="P433:P434" si="115">SUM(D433:O433)</f>
        <v>1</v>
      </c>
      <c r="Q433" s="50">
        <f>IF(P433="","",P433/$P424)</f>
        <v>0.16666666666666666</v>
      </c>
      <c r="R433" s="18"/>
    </row>
    <row r="434" spans="2:18" ht="15.75" customHeight="1" x14ac:dyDescent="0.2">
      <c r="B434" s="169"/>
      <c r="C434" s="31" t="s">
        <v>88</v>
      </c>
      <c r="D434" s="47">
        <f>VLOOKUP($B422,[1]Complaints!$A$4:$AJ$39,9,)</f>
        <v>0</v>
      </c>
      <c r="E434" s="48">
        <f>VLOOKUP($B422,[2]Complaints!$A$4:$AJ$39,9,)</f>
        <v>0</v>
      </c>
      <c r="F434" s="48">
        <f>VLOOKUP($B422,[3]Complaints!$A$4:$AJ$39,9,)</f>
        <v>0</v>
      </c>
      <c r="G434" s="48">
        <f>VLOOKUP($B422,[4]Complaints!$A$4:$AJ$39,9,)</f>
        <v>0</v>
      </c>
      <c r="H434" s="48">
        <f>VLOOKUP($B422,[5]Complaints!$A$4:$AJ$39,9,)</f>
        <v>0</v>
      </c>
      <c r="I434" s="48">
        <f>VLOOKUP($B422,[6]Complaints!$A$4:$AJ$39,9,)</f>
        <v>0</v>
      </c>
      <c r="J434" s="48">
        <f>VLOOKUP($B422,[7]Complaints!$A$4:$AJ$39,9,)</f>
        <v>0</v>
      </c>
      <c r="K434" s="48">
        <f>VLOOKUP($B422,[8]Complaints!$A$4:$AJ$39,9,)</f>
        <v>0</v>
      </c>
      <c r="L434" s="48">
        <f>VLOOKUP($B422,[9]Complaints!$A$4:$AJ$39,9,)</f>
        <v>0</v>
      </c>
      <c r="M434" s="48">
        <f>VLOOKUP($B422,[10]Complaints!$A$4:$AJ$39,9,)</f>
        <v>0</v>
      </c>
      <c r="N434" s="48">
        <f>VLOOKUP($B422,[11]Complaints!$A$4:$AJ$39,9,)</f>
        <v>0</v>
      </c>
      <c r="O434" s="49">
        <f>VLOOKUP($B422,[12]Complaints!$A$4:$AJ$39,9,)</f>
        <v>0</v>
      </c>
      <c r="P434" s="55">
        <f t="shared" si="115"/>
        <v>0</v>
      </c>
      <c r="Q434" s="50" t="str">
        <f>IF(P434=0,"",P434/$P424)</f>
        <v/>
      </c>
      <c r="R434" s="18"/>
    </row>
    <row r="435" spans="2:18" ht="15.75" customHeight="1" x14ac:dyDescent="0.2">
      <c r="B435" s="169"/>
      <c r="C435" s="31" t="s">
        <v>13</v>
      </c>
      <c r="D435" s="47">
        <f>VLOOKUP($B422,[1]Complaints!$A$4:$AJ$39,10,)</f>
        <v>0</v>
      </c>
      <c r="E435" s="48">
        <f>VLOOKUP($B422,[2]Complaints!$A$4:$AJ$39,10,)</f>
        <v>1</v>
      </c>
      <c r="F435" s="48">
        <f>VLOOKUP($B422,[3]Complaints!$A$4:$AJ$39,10,)</f>
        <v>0</v>
      </c>
      <c r="G435" s="48">
        <f>VLOOKUP($B422,[4]Complaints!$A$4:$AJ$39,10,)</f>
        <v>0</v>
      </c>
      <c r="H435" s="48">
        <f>VLOOKUP($B422,[5]Complaints!$A$4:$AJ$39,10,)</f>
        <v>0</v>
      </c>
      <c r="I435" s="48">
        <f>VLOOKUP($B422,[6]Complaints!$A$4:$AJ$39,10,)</f>
        <v>0</v>
      </c>
      <c r="J435" s="48">
        <f>VLOOKUP($B422,[7]Complaints!$A$4:$AJ$39,10,)</f>
        <v>1</v>
      </c>
      <c r="K435" s="48">
        <f>VLOOKUP($B422,[8]Complaints!$A$4:$AJ$39,10,)</f>
        <v>1</v>
      </c>
      <c r="L435" s="48">
        <f>VLOOKUP($B422,[9]Complaints!$A$4:$AJ$39,10,)</f>
        <v>0</v>
      </c>
      <c r="M435" s="48">
        <f>VLOOKUP($B422,[10]Complaints!$A$4:$AJ$39,10,)</f>
        <v>0</v>
      </c>
      <c r="N435" s="48">
        <f>VLOOKUP($B422,[11]Complaints!$A$4:$AJ$39,10,)</f>
        <v>0</v>
      </c>
      <c r="O435" s="49">
        <f>VLOOKUP($B422,[12]Complaints!$A$4:$AJ$39,10,)</f>
        <v>0</v>
      </c>
      <c r="P435" s="55">
        <f>SUM(D435:O435)</f>
        <v>3</v>
      </c>
      <c r="Q435" s="50">
        <f>IF(P435=0,"",P435/$P424)</f>
        <v>0.5</v>
      </c>
      <c r="R435" s="18"/>
    </row>
    <row r="436" spans="2:18" ht="15.75" customHeight="1" x14ac:dyDescent="0.2">
      <c r="B436" s="169"/>
      <c r="C436" s="31" t="s">
        <v>101</v>
      </c>
      <c r="D436" s="47">
        <f>VLOOKUP($B422,[1]Complaints!$A$4:$AJ$39,11,)</f>
        <v>0</v>
      </c>
      <c r="E436" s="48">
        <f>VLOOKUP($B422,[2]Complaints!$A$4:$AJ$39,11,)</f>
        <v>0</v>
      </c>
      <c r="F436" s="48">
        <f>VLOOKUP($B422,[3]Complaints!$A$4:$AJ$39,11,)</f>
        <v>0</v>
      </c>
      <c r="G436" s="48">
        <f>VLOOKUP($B422,[4]Complaints!$A$4:$AJ$39,11,)</f>
        <v>1</v>
      </c>
      <c r="H436" s="48">
        <f>VLOOKUP($B422,[5]Complaints!$A$4:$AJ$39,11,)</f>
        <v>0</v>
      </c>
      <c r="I436" s="48">
        <f>VLOOKUP($B422,[6]Complaints!$A$4:$AJ$39,11,)</f>
        <v>0</v>
      </c>
      <c r="J436" s="48">
        <f>VLOOKUP($B422,[7]Complaints!$A$4:$AJ$39,11,)</f>
        <v>0</v>
      </c>
      <c r="K436" s="48">
        <f>VLOOKUP($B422,[8]Complaints!$A$4:$AJ$39,11,)</f>
        <v>0</v>
      </c>
      <c r="L436" s="48">
        <f>VLOOKUP($B422,[9]Complaints!$A$4:$AJ$39,11,)</f>
        <v>0</v>
      </c>
      <c r="M436" s="48">
        <f>VLOOKUP($B422,[10]Complaints!$A$4:$AJ$39,11,)</f>
        <v>0</v>
      </c>
      <c r="N436" s="48">
        <f>VLOOKUP($B422,[11]Complaints!$A$4:$AJ$39,11,)</f>
        <v>0</v>
      </c>
      <c r="O436" s="49">
        <f>VLOOKUP($B422,[12]Complaints!$A$4:$AJ$39,11,)</f>
        <v>0</v>
      </c>
      <c r="P436" s="55">
        <f t="shared" ref="P436:P445" si="116">SUM(D436:O436)</f>
        <v>1</v>
      </c>
      <c r="Q436" s="50">
        <f>IF(P436=0,"",P436/$P424)</f>
        <v>0.16666666666666666</v>
      </c>
      <c r="R436" s="18"/>
    </row>
    <row r="437" spans="2:18" s="19" customFormat="1" ht="15.75" customHeight="1" x14ac:dyDescent="0.2">
      <c r="B437" s="169"/>
      <c r="C437" s="31" t="s">
        <v>93</v>
      </c>
      <c r="D437" s="47">
        <f>VLOOKUP($B422,[1]Complaints!$A$4:$AJ$39,12,)</f>
        <v>0</v>
      </c>
      <c r="E437" s="48">
        <f>VLOOKUP($B422,[2]Complaints!$A$4:$AJ$39,12,)</f>
        <v>0</v>
      </c>
      <c r="F437" s="48">
        <f>VLOOKUP($B422,[3]Complaints!$A$4:$AJ$39,12,)</f>
        <v>0</v>
      </c>
      <c r="G437" s="48">
        <f>VLOOKUP($B422,[4]Complaints!$A$4:$AJ$39,12,)</f>
        <v>0</v>
      </c>
      <c r="H437" s="48">
        <f>VLOOKUP($B422,[5]Complaints!$A$4:$AJ$39,12,)</f>
        <v>0</v>
      </c>
      <c r="I437" s="48">
        <f>VLOOKUP($B422,[6]Complaints!$A$4:$AJ$39,12,)</f>
        <v>0</v>
      </c>
      <c r="J437" s="48">
        <f>VLOOKUP($B422,[7]Complaints!$A$4:$AJ$39,12,)</f>
        <v>0</v>
      </c>
      <c r="K437" s="48">
        <f>VLOOKUP($B422,[8]Complaints!$A$4:$AJ$39,12,)</f>
        <v>0</v>
      </c>
      <c r="L437" s="48">
        <f>VLOOKUP($B422,[9]Complaints!$A$4:$AJ$39,12,)</f>
        <v>0</v>
      </c>
      <c r="M437" s="48">
        <f>VLOOKUP($B422,[10]Complaints!$A$4:$AJ$39,12,)</f>
        <v>0</v>
      </c>
      <c r="N437" s="48">
        <f>VLOOKUP($B422,[11]Complaints!$A$4:$AJ$39,12,)</f>
        <v>0</v>
      </c>
      <c r="O437" s="49">
        <f>VLOOKUP($B422,[12]Complaints!$A$4:$AJ$39,12,)</f>
        <v>0</v>
      </c>
      <c r="P437" s="55">
        <f t="shared" si="116"/>
        <v>0</v>
      </c>
      <c r="Q437" s="50" t="str">
        <f>IF(P437=0,"",P437/$P424)</f>
        <v/>
      </c>
    </row>
    <row r="438" spans="2:18" ht="15.75" customHeight="1" x14ac:dyDescent="0.2">
      <c r="B438" s="169"/>
      <c r="C438" s="31" t="s">
        <v>78</v>
      </c>
      <c r="D438" s="47">
        <f>VLOOKUP($B422,[1]Complaints!$A$4:$AJ$39,13,)</f>
        <v>0</v>
      </c>
      <c r="E438" s="48">
        <f>VLOOKUP($B422,[2]Complaints!$A$4:$AJ$39,13,)</f>
        <v>0</v>
      </c>
      <c r="F438" s="48">
        <f>VLOOKUP($B422,[3]Complaints!$A$4:$AJ$39,13,)</f>
        <v>0</v>
      </c>
      <c r="G438" s="48">
        <f>VLOOKUP($B422,[4]Complaints!$A$4:$AJ$39,13,)</f>
        <v>0</v>
      </c>
      <c r="H438" s="48">
        <f>VLOOKUP($B422,[5]Complaints!$A$4:$AJ$39,13,)</f>
        <v>0</v>
      </c>
      <c r="I438" s="48">
        <f>VLOOKUP($B422,[6]Complaints!$A$4:$AJ$39,13,)</f>
        <v>0</v>
      </c>
      <c r="J438" s="48">
        <f>VLOOKUP($B422,[7]Complaints!$A$4:$AJ$39,13,)</f>
        <v>0</v>
      </c>
      <c r="K438" s="48">
        <f>VLOOKUP($B422,[8]Complaints!$A$4:$AJ$39,13,)</f>
        <v>0</v>
      </c>
      <c r="L438" s="48">
        <f>VLOOKUP($B422,[9]Complaints!$A$4:$AJ$39,13,)</f>
        <v>0</v>
      </c>
      <c r="M438" s="48">
        <f>VLOOKUP($B422,[10]Complaints!$A$4:$AJ$39,13,)</f>
        <v>0</v>
      </c>
      <c r="N438" s="48">
        <f>VLOOKUP($B422,[11]Complaints!$A$4:$AJ$39,13,)</f>
        <v>0</v>
      </c>
      <c r="O438" s="49">
        <f>VLOOKUP($B422,[12]Complaints!$A$4:$AJ$39,13,)</f>
        <v>0</v>
      </c>
      <c r="P438" s="55">
        <f t="shared" si="116"/>
        <v>0</v>
      </c>
      <c r="Q438" s="50" t="str">
        <f>IF(P438=0,"",P438/$P424)</f>
        <v/>
      </c>
      <c r="R438" s="18"/>
    </row>
    <row r="439" spans="2:18" ht="15.75" customHeight="1" x14ac:dyDescent="0.2">
      <c r="B439" s="169"/>
      <c r="C439" s="31" t="s">
        <v>92</v>
      </c>
      <c r="D439" s="47">
        <f>VLOOKUP($B422,[1]Complaints!$A$4:$AJ$39,14,)</f>
        <v>0</v>
      </c>
      <c r="E439" s="48">
        <f>VLOOKUP($B422,[2]Complaints!$A$4:$AJ$39,14,)</f>
        <v>0</v>
      </c>
      <c r="F439" s="48">
        <f>VLOOKUP($B422,[3]Complaints!$A$4:$AJ$39,14,)</f>
        <v>0</v>
      </c>
      <c r="G439" s="48">
        <f>VLOOKUP($B422,[4]Complaints!$A$4:$AJ$39,14,)</f>
        <v>0</v>
      </c>
      <c r="H439" s="48">
        <f>VLOOKUP($B422,[5]Complaints!$A$4:$AJ$39,14,)</f>
        <v>0</v>
      </c>
      <c r="I439" s="48">
        <f>VLOOKUP($B422,[6]Complaints!$A$4:$AJ$39,14,)</f>
        <v>0</v>
      </c>
      <c r="J439" s="48">
        <f>VLOOKUP($B422,[7]Complaints!$A$4:$AJ$39,14,)</f>
        <v>0</v>
      </c>
      <c r="K439" s="48">
        <f>VLOOKUP($B422,[8]Complaints!$A$4:$AJ$39,14,)</f>
        <v>0</v>
      </c>
      <c r="L439" s="48">
        <f>VLOOKUP($B422,[9]Complaints!$A$4:$AJ$39,14,)</f>
        <v>0</v>
      </c>
      <c r="M439" s="48">
        <f>VLOOKUP($B422,[10]Complaints!$A$4:$AJ$39,14,)</f>
        <v>0</v>
      </c>
      <c r="N439" s="48">
        <f>VLOOKUP($B422,[11]Complaints!$A$4:$AJ$39,14,)</f>
        <v>0</v>
      </c>
      <c r="O439" s="49">
        <f>VLOOKUP($B422,[12]Complaints!$A$4:$AJ$39,14,)</f>
        <v>0</v>
      </c>
      <c r="P439" s="55">
        <f t="shared" si="116"/>
        <v>0</v>
      </c>
      <c r="Q439" s="50" t="str">
        <f>IF(P439=0,"",P439/$P424)</f>
        <v/>
      </c>
      <c r="R439" s="18"/>
    </row>
    <row r="440" spans="2:18" ht="15.75" customHeight="1" x14ac:dyDescent="0.2">
      <c r="B440" s="169"/>
      <c r="C440" s="31" t="s">
        <v>91</v>
      </c>
      <c r="D440" s="47">
        <f>VLOOKUP($B422,[1]Complaints!$A$4:$AJ$39,15,)</f>
        <v>0</v>
      </c>
      <c r="E440" s="48">
        <f>VLOOKUP($B422,[2]Complaints!$A$4:$AJ$39,15,)</f>
        <v>0</v>
      </c>
      <c r="F440" s="48">
        <f>VLOOKUP($B422,[3]Complaints!$A$4:$AJ$39,15,)</f>
        <v>0</v>
      </c>
      <c r="G440" s="48">
        <f>VLOOKUP($B422,[4]Complaints!$A$4:$AJ$39,15,)</f>
        <v>0</v>
      </c>
      <c r="H440" s="48">
        <f>VLOOKUP($B422,[5]Complaints!$A$4:$AJ$39,15,)</f>
        <v>0</v>
      </c>
      <c r="I440" s="48">
        <f>VLOOKUP($B422,[6]Complaints!$A$4:$AJ$39,15,)</f>
        <v>0</v>
      </c>
      <c r="J440" s="48">
        <f>VLOOKUP($B422,[7]Complaints!$A$4:$AJ$39,15,)</f>
        <v>0</v>
      </c>
      <c r="K440" s="48">
        <f>VLOOKUP($B422,[8]Complaints!$A$4:$AJ$39,15,)</f>
        <v>0</v>
      </c>
      <c r="L440" s="48">
        <f>VLOOKUP($B422,[9]Complaints!$A$4:$AJ$39,15,)</f>
        <v>0</v>
      </c>
      <c r="M440" s="48">
        <f>VLOOKUP($B422,[10]Complaints!$A$4:$AJ$39,15,)</f>
        <v>0</v>
      </c>
      <c r="N440" s="48">
        <f>VLOOKUP($B422,[11]Complaints!$A$4:$AJ$39,15,)</f>
        <v>0</v>
      </c>
      <c r="O440" s="49">
        <f>VLOOKUP($B422,[12]Complaints!$A$4:$AJ$39,15,)</f>
        <v>0</v>
      </c>
      <c r="P440" s="55">
        <f t="shared" si="116"/>
        <v>0</v>
      </c>
      <c r="Q440" s="50" t="str">
        <f>IF(P440=0,"",P440/$P424)</f>
        <v/>
      </c>
      <c r="R440" s="18"/>
    </row>
    <row r="441" spans="2:18" ht="15.75" customHeight="1" x14ac:dyDescent="0.2">
      <c r="B441" s="169"/>
      <c r="C441" s="31" t="s">
        <v>79</v>
      </c>
      <c r="D441" s="47">
        <f>VLOOKUP($B422,[1]Complaints!$A$4:$AJ$39,16,)</f>
        <v>0</v>
      </c>
      <c r="E441" s="48">
        <f>VLOOKUP($B422,[2]Complaints!$A$4:$AJ$39,16,)</f>
        <v>0</v>
      </c>
      <c r="F441" s="48">
        <f>VLOOKUP($B422,[3]Complaints!$A$4:$AJ$39,16,)</f>
        <v>0</v>
      </c>
      <c r="G441" s="48">
        <f>VLOOKUP($B422,[4]Complaints!$A$4:$AJ$39,16,)</f>
        <v>0</v>
      </c>
      <c r="H441" s="48">
        <f>VLOOKUP($B422,[5]Complaints!$A$4:$AJ$39,16,)</f>
        <v>0</v>
      </c>
      <c r="I441" s="48">
        <f>VLOOKUP($B422,[6]Complaints!$A$4:$AJ$39,16,)</f>
        <v>0</v>
      </c>
      <c r="J441" s="48">
        <f>VLOOKUP($B422,[7]Complaints!$A$4:$AJ$39,16,)</f>
        <v>0</v>
      </c>
      <c r="K441" s="48">
        <f>VLOOKUP($B422,[8]Complaints!$A$4:$AJ$39,16,)</f>
        <v>0</v>
      </c>
      <c r="L441" s="48">
        <f>VLOOKUP($B422,[9]Complaints!$A$4:$AJ$39,16,)</f>
        <v>0</v>
      </c>
      <c r="M441" s="48">
        <f>VLOOKUP($B422,[10]Complaints!$A$4:$AJ$39,16,)</f>
        <v>0</v>
      </c>
      <c r="N441" s="48">
        <f>VLOOKUP($B422,[11]Complaints!$A$4:$AJ$39,16,)</f>
        <v>0</v>
      </c>
      <c r="O441" s="49">
        <f>VLOOKUP($B422,[12]Complaints!$A$4:$AJ$39,16,)</f>
        <v>0</v>
      </c>
      <c r="P441" s="55">
        <f t="shared" si="116"/>
        <v>0</v>
      </c>
      <c r="Q441" s="50" t="str">
        <f>IF(P441=0,"",P441/$P424)</f>
        <v/>
      </c>
      <c r="R441" s="18"/>
    </row>
    <row r="442" spans="2:18" ht="15.75" customHeight="1" x14ac:dyDescent="0.2">
      <c r="B442" s="169"/>
      <c r="C442" s="31" t="s">
        <v>80</v>
      </c>
      <c r="D442" s="47">
        <f>VLOOKUP($B422,[1]Complaints!$A$4:$AJ$39,17,)</f>
        <v>0</v>
      </c>
      <c r="E442" s="48">
        <f>VLOOKUP($B422,[2]Complaints!$A$4:$AJ$39,17,)</f>
        <v>0</v>
      </c>
      <c r="F442" s="48">
        <f>VLOOKUP($B422,[3]Complaints!$A$4:$AJ$39,17,)</f>
        <v>0</v>
      </c>
      <c r="G442" s="48">
        <f>VLOOKUP($B422,[4]Complaints!$A$4:$AJ$39,17,)</f>
        <v>0</v>
      </c>
      <c r="H442" s="48">
        <f>VLOOKUP($B422,[5]Complaints!$A$4:$AJ$39,17,)</f>
        <v>0</v>
      </c>
      <c r="I442" s="48">
        <f>VLOOKUP($B422,[6]Complaints!$A$4:$AJ$39,17,)</f>
        <v>0</v>
      </c>
      <c r="J442" s="48">
        <f>VLOOKUP($B422,[7]Complaints!$A$4:$AJ$39,17,)</f>
        <v>0</v>
      </c>
      <c r="K442" s="48">
        <f>VLOOKUP($B422,[8]Complaints!$A$4:$AJ$39,17,)</f>
        <v>0</v>
      </c>
      <c r="L442" s="48">
        <f>VLOOKUP($B422,[9]Complaints!$A$4:$AJ$39,17,)</f>
        <v>0</v>
      </c>
      <c r="M442" s="48">
        <f>VLOOKUP($B422,[10]Complaints!$A$4:$AJ$39,17,)</f>
        <v>0</v>
      </c>
      <c r="N442" s="48">
        <f>VLOOKUP($B422,[11]Complaints!$A$4:$AJ$39,17,)</f>
        <v>0</v>
      </c>
      <c r="O442" s="49">
        <f>VLOOKUP($B422,[12]Complaints!$A$4:$AJ$39,17,)</f>
        <v>0</v>
      </c>
      <c r="P442" s="55">
        <f t="shared" si="116"/>
        <v>0</v>
      </c>
      <c r="Q442" s="50" t="str">
        <f>IF(P442=0,"",P442/$P424)</f>
        <v/>
      </c>
      <c r="R442" s="18"/>
    </row>
    <row r="443" spans="2:18" ht="15.75" customHeight="1" x14ac:dyDescent="0.2">
      <c r="B443" s="169"/>
      <c r="C443" s="31" t="s">
        <v>81</v>
      </c>
      <c r="D443" s="47">
        <f>VLOOKUP($B422,[1]Complaints!$A$4:$AJ$39,18,)</f>
        <v>0</v>
      </c>
      <c r="E443" s="48">
        <f>VLOOKUP($B422,[2]Complaints!$A$4:$AJ$39,18,)</f>
        <v>0</v>
      </c>
      <c r="F443" s="48">
        <f>VLOOKUP($B422,[3]Complaints!$A$4:$AJ$39,18,)</f>
        <v>0</v>
      </c>
      <c r="G443" s="48">
        <f>VLOOKUP($B422,[4]Complaints!$A$4:$AJ$39,18,)</f>
        <v>0</v>
      </c>
      <c r="H443" s="48">
        <f>VLOOKUP($B422,[5]Complaints!$A$4:$AJ$39,18,)</f>
        <v>0</v>
      </c>
      <c r="I443" s="48">
        <f>VLOOKUP($B422,[6]Complaints!$A$4:$AJ$39,18,)</f>
        <v>0</v>
      </c>
      <c r="J443" s="48">
        <f>VLOOKUP($B422,[7]Complaints!$A$4:$AJ$39,18,)</f>
        <v>0</v>
      </c>
      <c r="K443" s="48">
        <f>VLOOKUP($B422,[8]Complaints!$A$4:$AJ$39,18,)</f>
        <v>0</v>
      </c>
      <c r="L443" s="48">
        <f>VLOOKUP($B422,[9]Complaints!$A$4:$AJ$39,18,)</f>
        <v>0</v>
      </c>
      <c r="M443" s="48">
        <f>VLOOKUP($B422,[10]Complaints!$A$4:$AJ$39,18,)</f>
        <v>0</v>
      </c>
      <c r="N443" s="48">
        <f>VLOOKUP($B422,[11]Complaints!$A$4:$AJ$39,18,)</f>
        <v>0</v>
      </c>
      <c r="O443" s="49">
        <f>VLOOKUP($B422,[12]Complaints!$A$4:$AJ$39,18,)</f>
        <v>0</v>
      </c>
      <c r="P443" s="55">
        <f t="shared" si="116"/>
        <v>0</v>
      </c>
      <c r="Q443" s="50" t="str">
        <f>IF(P443=0,"",P443/$P424)</f>
        <v/>
      </c>
      <c r="R443" s="18"/>
    </row>
    <row r="444" spans="2:18" ht="15.75" customHeight="1" x14ac:dyDescent="0.2">
      <c r="B444" s="169"/>
      <c r="C444" s="31" t="s">
        <v>82</v>
      </c>
      <c r="D444" s="47">
        <f>VLOOKUP($B422,[1]Complaints!$A$4:$AJ$39,19,)</f>
        <v>0</v>
      </c>
      <c r="E444" s="48">
        <f>VLOOKUP($B422,[2]Complaints!$A$4:$AJ$39,19,)</f>
        <v>0</v>
      </c>
      <c r="F444" s="48">
        <f>VLOOKUP($B422,[3]Complaints!$A$4:$AJ$39,19,)</f>
        <v>0</v>
      </c>
      <c r="G444" s="48">
        <f>VLOOKUP($B422,[4]Complaints!$A$4:$AJ$39,19,)</f>
        <v>0</v>
      </c>
      <c r="H444" s="48">
        <f>VLOOKUP($B422,[5]Complaints!$A$4:$AJ$39,19,)</f>
        <v>0</v>
      </c>
      <c r="I444" s="48">
        <f>VLOOKUP($B422,[6]Complaints!$A$4:$AJ$39,19,)</f>
        <v>0</v>
      </c>
      <c r="J444" s="48">
        <f>VLOOKUP($B422,[7]Complaints!$A$4:$AJ$39,19,)</f>
        <v>0</v>
      </c>
      <c r="K444" s="48">
        <f>VLOOKUP($B422,[8]Complaints!$A$4:$AJ$39,19,)</f>
        <v>0</v>
      </c>
      <c r="L444" s="48">
        <f>VLOOKUP($B422,[9]Complaints!$A$4:$AJ$39,19,)</f>
        <v>0</v>
      </c>
      <c r="M444" s="48">
        <f>VLOOKUP($B422,[10]Complaints!$A$4:$AJ$39,19,)</f>
        <v>0</v>
      </c>
      <c r="N444" s="48">
        <f>VLOOKUP($B422,[11]Complaints!$A$4:$AJ$39,19,)</f>
        <v>0</v>
      </c>
      <c r="O444" s="49">
        <f>VLOOKUP($B422,[12]Complaints!$A$4:$AJ$39,19,)</f>
        <v>0</v>
      </c>
      <c r="P444" s="55">
        <f t="shared" si="116"/>
        <v>0</v>
      </c>
      <c r="Q444" s="50" t="str">
        <f>IF(P444=0,"",P444/$P424)</f>
        <v/>
      </c>
      <c r="R444" s="18"/>
    </row>
    <row r="445" spans="2:18" ht="15.75" customHeight="1" thickBot="1" x14ac:dyDescent="0.25">
      <c r="B445" s="170"/>
      <c r="C445" s="31" t="s">
        <v>83</v>
      </c>
      <c r="D445" s="47">
        <f>VLOOKUP($B422,[1]Complaints!$A$4:$AJ$39,20,)</f>
        <v>0</v>
      </c>
      <c r="E445" s="48">
        <f>VLOOKUP($B422,[2]Complaints!$A$4:$AJ$39,20,)</f>
        <v>0</v>
      </c>
      <c r="F445" s="48">
        <f>VLOOKUP($B422,[3]Complaints!$A$4:$AJ$39,20,)</f>
        <v>0</v>
      </c>
      <c r="G445" s="48">
        <f>VLOOKUP($B422,[4]Complaints!$A$4:$AJ$39,20,)</f>
        <v>0</v>
      </c>
      <c r="H445" s="48">
        <f>VLOOKUP($B422,[5]Complaints!$A$4:$AJ$39,20,)</f>
        <v>0</v>
      </c>
      <c r="I445" s="48">
        <f>VLOOKUP($B422,[6]Complaints!$A$4:$AJ$39,20,)</f>
        <v>0</v>
      </c>
      <c r="J445" s="48">
        <f>VLOOKUP($B422,[7]Complaints!$A$4:$AJ$39,20,)</f>
        <v>0</v>
      </c>
      <c r="K445" s="48">
        <f>VLOOKUP($B422,[8]Complaints!$A$4:$AJ$39,20,)</f>
        <v>0</v>
      </c>
      <c r="L445" s="48">
        <f>VLOOKUP($B422,[9]Complaints!$A$4:$AJ$39,20,)</f>
        <v>0</v>
      </c>
      <c r="M445" s="48">
        <f>VLOOKUP($B422,[10]Complaints!$A$4:$AJ$39,20,)</f>
        <v>0</v>
      </c>
      <c r="N445" s="48">
        <f>VLOOKUP($B422,[11]Complaints!$A$4:$AJ$39,20,)</f>
        <v>0</v>
      </c>
      <c r="O445" s="49">
        <f>VLOOKUP($B422,[12]Complaints!$A$4:$AJ$39,20,)</f>
        <v>0</v>
      </c>
      <c r="P445" s="55">
        <f t="shared" si="116"/>
        <v>0</v>
      </c>
      <c r="Q445" s="50" t="str">
        <f>IF(P445=0,"",P445/$P424)</f>
        <v/>
      </c>
      <c r="R445" s="18"/>
    </row>
    <row r="446" spans="2:18" ht="15.75" customHeight="1" x14ac:dyDescent="0.2">
      <c r="B446" s="144" t="s">
        <v>90</v>
      </c>
      <c r="C446" s="37" t="s">
        <v>118</v>
      </c>
      <c r="D446" s="62">
        <f>VLOOKUP($B422,[1]Complaints!$A$4:$AJ$39,21,)</f>
        <v>0</v>
      </c>
      <c r="E446" s="63">
        <f>VLOOKUP($B422,[2]Complaints!$A$4:$AJ$39,21,)</f>
        <v>0</v>
      </c>
      <c r="F446" s="63">
        <f>VLOOKUP($B422,[3]Complaints!$A$4:$AJ$39,21,)</f>
        <v>0</v>
      </c>
      <c r="G446" s="63">
        <f>VLOOKUP($B422,[4]Complaints!$A$4:$AJ$39,21,)</f>
        <v>1</v>
      </c>
      <c r="H446" s="63">
        <f>VLOOKUP($B422,[5]Complaints!$A$4:$AJ$39,21,)</f>
        <v>2</v>
      </c>
      <c r="I446" s="63">
        <f>VLOOKUP($B422,[6]Complaints!$A$4:$AJ$39,21,)</f>
        <v>0</v>
      </c>
      <c r="J446" s="63">
        <f>VLOOKUP($B422,[7]Complaints!$A$4:$AJ$39,21,)</f>
        <v>0</v>
      </c>
      <c r="K446" s="63">
        <f>VLOOKUP($B422,[8]Complaints!$A$4:$AJ$39,21,)</f>
        <v>0</v>
      </c>
      <c r="L446" s="63">
        <f>VLOOKUP($B422,[9]Complaints!$A$4:$AJ$39,21,)</f>
        <v>0</v>
      </c>
      <c r="M446" s="63">
        <f>VLOOKUP($B422,[10]Complaints!$A$4:$AJ$39,21,)</f>
        <v>0</v>
      </c>
      <c r="N446" s="63">
        <f>VLOOKUP($B422,[11]Complaints!$A$4:$AJ$39,21,)</f>
        <v>0</v>
      </c>
      <c r="O446" s="64">
        <f>VLOOKUP($B422,[12]Complaints!$A$4:$AJ$39,21,)</f>
        <v>0</v>
      </c>
      <c r="P446" s="65">
        <f>SUM(D446:O446)</f>
        <v>3</v>
      </c>
      <c r="Q446" s="46">
        <f>IF(P446=0,"",P446/$P430)</f>
        <v>1</v>
      </c>
      <c r="R446" s="18"/>
    </row>
    <row r="447" spans="2:18" ht="15.75" customHeight="1" x14ac:dyDescent="0.2">
      <c r="B447" s="145"/>
      <c r="C447" s="38" t="s">
        <v>77</v>
      </c>
      <c r="D447" s="66">
        <f>VLOOKUP($B422,[1]Complaints!$A$4:$AJ$39,22,)</f>
        <v>0</v>
      </c>
      <c r="E447" s="67">
        <f>VLOOKUP($B422,[2]Complaints!$A$4:$AJ$39,22,)</f>
        <v>0</v>
      </c>
      <c r="F447" s="67">
        <f>VLOOKUP($B422,[3]Complaints!$A$4:$AJ$39,22,)</f>
        <v>0</v>
      </c>
      <c r="G447" s="67">
        <f>VLOOKUP($B422,[4]Complaints!$A$4:$AJ$39,22,)</f>
        <v>0</v>
      </c>
      <c r="H447" s="67">
        <f>VLOOKUP($B422,[5]Complaints!$A$4:$AJ$39,22,)</f>
        <v>1</v>
      </c>
      <c r="I447" s="67">
        <f>VLOOKUP($B422,[6]Complaints!$A$4:$AJ$39,22,)</f>
        <v>0</v>
      </c>
      <c r="J447" s="67">
        <f>VLOOKUP($B422,[7]Complaints!$A$4:$AJ$39,22,)</f>
        <v>0</v>
      </c>
      <c r="K447" s="67">
        <f>VLOOKUP($B422,[8]Complaints!$A$4:$AJ$39,22,)</f>
        <v>0</v>
      </c>
      <c r="L447" s="67">
        <f>VLOOKUP($B422,[9]Complaints!$A$4:$AJ$39,22,)</f>
        <v>0</v>
      </c>
      <c r="M447" s="67">
        <f>VLOOKUP($B422,[10]Complaints!$A$4:$AJ$39,22,)</f>
        <v>0</v>
      </c>
      <c r="N447" s="67">
        <f>VLOOKUP($B422,[11]Complaints!$A$4:$AJ$39,22,)</f>
        <v>0</v>
      </c>
      <c r="O447" s="68">
        <f>VLOOKUP($B422,[12]Complaints!$A$4:$AJ$39,22,)</f>
        <v>0</v>
      </c>
      <c r="P447" s="69">
        <f t="shared" ref="P447:P461" si="117">SUM(D447:O447)</f>
        <v>1</v>
      </c>
      <c r="Q447" s="70">
        <f>IF(P447=0,"",P447/$P430)</f>
        <v>0.33333333333333331</v>
      </c>
      <c r="R447" s="18"/>
    </row>
    <row r="448" spans="2:18" ht="15.75" customHeight="1" x14ac:dyDescent="0.2">
      <c r="B448" s="145"/>
      <c r="C448" s="38" t="s">
        <v>108</v>
      </c>
      <c r="D448" s="66">
        <f>VLOOKUP($B422,[1]Complaints!$A$4:$AJ$39,23,)</f>
        <v>0</v>
      </c>
      <c r="E448" s="67">
        <f>VLOOKUP($B422,[2]Complaints!$A$4:$AJ$39,23,)</f>
        <v>0</v>
      </c>
      <c r="F448" s="67">
        <f>VLOOKUP($B422,[3]Complaints!$A$4:$AJ$39,23,)</f>
        <v>0</v>
      </c>
      <c r="G448" s="67">
        <f>VLOOKUP($B422,[4]Complaints!$A$4:$AJ$39,23,)</f>
        <v>0</v>
      </c>
      <c r="H448" s="67">
        <f>VLOOKUP($B422,[5]Complaints!$A$4:$AJ$39,23,)</f>
        <v>1</v>
      </c>
      <c r="I448" s="67">
        <f>VLOOKUP($B422,[6]Complaints!$A$4:$AJ$39,23,)</f>
        <v>0</v>
      </c>
      <c r="J448" s="67">
        <f>VLOOKUP($B422,[7]Complaints!$A$4:$AJ$39,23,)</f>
        <v>0</v>
      </c>
      <c r="K448" s="67">
        <f>VLOOKUP($B422,[8]Complaints!$A$4:$AJ$39,23,)</f>
        <v>0</v>
      </c>
      <c r="L448" s="67">
        <f>VLOOKUP($B422,[9]Complaints!$A$4:$AJ$39,23,)</f>
        <v>0</v>
      </c>
      <c r="M448" s="67">
        <f>VLOOKUP($B422,[10]Complaints!$A$4:$AJ$39,23,)</f>
        <v>0</v>
      </c>
      <c r="N448" s="67">
        <f>VLOOKUP($B422,[11]Complaints!$A$4:$AJ$39,23,)</f>
        <v>0</v>
      </c>
      <c r="O448" s="68">
        <f>VLOOKUP($B422,[12]Complaints!$A$4:$AJ$39,23,)</f>
        <v>0</v>
      </c>
      <c r="P448" s="69">
        <f t="shared" si="117"/>
        <v>1</v>
      </c>
      <c r="Q448" s="70">
        <f>IF(P448=0,"",P448/$P430)</f>
        <v>0.33333333333333331</v>
      </c>
      <c r="R448" s="18"/>
    </row>
    <row r="449" spans="1:19" ht="15.75" customHeight="1" x14ac:dyDescent="0.2">
      <c r="B449" s="145"/>
      <c r="C449" s="38" t="s">
        <v>88</v>
      </c>
      <c r="D449" s="66">
        <f>VLOOKUP($B422,[1]Complaints!$A$4:$AJ$39,24,)</f>
        <v>0</v>
      </c>
      <c r="E449" s="67">
        <f>VLOOKUP($B422,[2]Complaints!$A$4:$AJ$39,24,)</f>
        <v>0</v>
      </c>
      <c r="F449" s="67">
        <f>VLOOKUP($B422,[3]Complaints!$A$4:$AJ$39,24,)</f>
        <v>0</v>
      </c>
      <c r="G449" s="67">
        <f>VLOOKUP($B422,[4]Complaints!$A$4:$AJ$39,24,)</f>
        <v>0</v>
      </c>
      <c r="H449" s="67">
        <f>VLOOKUP($B422,[5]Complaints!$A$4:$AJ$39,24,)</f>
        <v>0</v>
      </c>
      <c r="I449" s="67">
        <f>VLOOKUP($B422,[6]Complaints!$A$4:$AJ$39,24,)</f>
        <v>0</v>
      </c>
      <c r="J449" s="67">
        <f>VLOOKUP($B422,[7]Complaints!$A$4:$AJ$39,24,)</f>
        <v>0</v>
      </c>
      <c r="K449" s="67">
        <f>VLOOKUP($B422,[8]Complaints!$A$4:$AJ$39,24,)</f>
        <v>0</v>
      </c>
      <c r="L449" s="67">
        <f>VLOOKUP($B422,[9]Complaints!$A$4:$AJ$39,24,)</f>
        <v>0</v>
      </c>
      <c r="M449" s="67">
        <f>VLOOKUP($B422,[10]Complaints!$A$4:$AJ$39,24,)</f>
        <v>0</v>
      </c>
      <c r="N449" s="67">
        <f>VLOOKUP($B422,[11]Complaints!$A$4:$AJ$39,24,)</f>
        <v>0</v>
      </c>
      <c r="O449" s="68">
        <f>VLOOKUP($B422,[12]Complaints!$A$4:$AJ$39,24,)</f>
        <v>0</v>
      </c>
      <c r="P449" s="69">
        <f t="shared" si="117"/>
        <v>0</v>
      </c>
      <c r="Q449" s="70" t="str">
        <f>IF(P449=0,"",P449/$P430)</f>
        <v/>
      </c>
      <c r="R449" s="18"/>
    </row>
    <row r="450" spans="1:19" ht="15.75" customHeight="1" x14ac:dyDescent="0.2">
      <c r="B450" s="145"/>
      <c r="C450" s="38" t="s">
        <v>109</v>
      </c>
      <c r="D450" s="66">
        <f>VLOOKUP($B422,[1]Complaints!$A$4:$AJ$39,25,)</f>
        <v>0</v>
      </c>
      <c r="E450" s="67">
        <f>VLOOKUP($B422,[2]Complaints!$A$4:$AJ$39,25,)</f>
        <v>0</v>
      </c>
      <c r="F450" s="67">
        <f>VLOOKUP($B422,[3]Complaints!$A$4:$AJ$39,25,)</f>
        <v>0</v>
      </c>
      <c r="G450" s="67">
        <f>VLOOKUP($B422,[4]Complaints!$A$4:$AJ$39,25,)</f>
        <v>0</v>
      </c>
      <c r="H450" s="67">
        <f>VLOOKUP($B422,[5]Complaints!$A$4:$AJ$39,25,)</f>
        <v>0</v>
      </c>
      <c r="I450" s="67">
        <f>VLOOKUP($B422,[6]Complaints!$A$4:$AJ$39,25,)</f>
        <v>0</v>
      </c>
      <c r="J450" s="67">
        <f>VLOOKUP($B422,[7]Complaints!$A$4:$AJ$39,25,)</f>
        <v>0</v>
      </c>
      <c r="K450" s="67">
        <f>VLOOKUP($B422,[8]Complaints!$A$4:$AJ$39,25,)</f>
        <v>0</v>
      </c>
      <c r="L450" s="67">
        <f>VLOOKUP($B422,[9]Complaints!$A$4:$AJ$39,25,)</f>
        <v>0</v>
      </c>
      <c r="M450" s="67">
        <f>VLOOKUP($B422,[10]Complaints!$A$4:$AJ$39,25,)</f>
        <v>0</v>
      </c>
      <c r="N450" s="67">
        <f>VLOOKUP($B422,[11]Complaints!$A$4:$AJ$39,25,)</f>
        <v>0</v>
      </c>
      <c r="O450" s="68">
        <f>VLOOKUP($B422,[12]Complaints!$A$4:$AJ$39,25,)</f>
        <v>0</v>
      </c>
      <c r="P450" s="69">
        <f t="shared" si="117"/>
        <v>0</v>
      </c>
      <c r="Q450" s="70" t="str">
        <f>IF(P450=0,"",P450/$P430)</f>
        <v/>
      </c>
      <c r="R450" s="18"/>
    </row>
    <row r="451" spans="1:19" ht="15.75" customHeight="1" x14ac:dyDescent="0.2">
      <c r="A451" s="21"/>
      <c r="B451" s="145"/>
      <c r="C451" s="38" t="s">
        <v>110</v>
      </c>
      <c r="D451" s="66">
        <f>VLOOKUP($B422,[1]Complaints!$A$4:$AJ$39,26,)</f>
        <v>0</v>
      </c>
      <c r="E451" s="67">
        <f>VLOOKUP($B422,[2]Complaints!$A$4:$AJ$39,26,)</f>
        <v>0</v>
      </c>
      <c r="F451" s="67">
        <f>VLOOKUP($B422,[3]Complaints!$A$4:$AJ$39,26,)</f>
        <v>0</v>
      </c>
      <c r="G451" s="67">
        <f>VLOOKUP($B422,[4]Complaints!$A$4:$AJ$39,26,)</f>
        <v>0</v>
      </c>
      <c r="H451" s="67">
        <f>VLOOKUP($B422,[5]Complaints!$A$4:$AJ$39,26,)</f>
        <v>0</v>
      </c>
      <c r="I451" s="67">
        <f>VLOOKUP($B422,[6]Complaints!$A$4:$AJ$39,26,)</f>
        <v>0</v>
      </c>
      <c r="J451" s="67">
        <f>VLOOKUP($B422,[7]Complaints!$A$4:$AJ$39,26,)</f>
        <v>0</v>
      </c>
      <c r="K451" s="67">
        <f>VLOOKUP($B422,[8]Complaints!$A$4:$AJ$39,26,)</f>
        <v>0</v>
      </c>
      <c r="L451" s="67">
        <f>VLOOKUP($B422,[9]Complaints!$A$4:$AJ$39,26,)</f>
        <v>0</v>
      </c>
      <c r="M451" s="67">
        <f>VLOOKUP($B422,[10]Complaints!$A$4:$AJ$39,26,)</f>
        <v>0</v>
      </c>
      <c r="N451" s="67">
        <f>VLOOKUP($B422,[11]Complaints!$A$4:$AJ$39,26,)</f>
        <v>0</v>
      </c>
      <c r="O451" s="68">
        <f>VLOOKUP($B422,[12]Complaints!$A$4:$AJ$39,26,)</f>
        <v>0</v>
      </c>
      <c r="P451" s="69">
        <f t="shared" si="117"/>
        <v>0</v>
      </c>
      <c r="Q451" s="70" t="str">
        <f>IF(P451=0,"",P451/$P430)</f>
        <v/>
      </c>
      <c r="R451" s="18"/>
    </row>
    <row r="452" spans="1:19" s="21" customFormat="1" ht="15.75" customHeight="1" x14ac:dyDescent="0.2">
      <c r="B452" s="145"/>
      <c r="C452" s="39" t="s">
        <v>107</v>
      </c>
      <c r="D452" s="71">
        <f>VLOOKUP($B422,[1]Complaints!$A$4:$AJ$39,27,)</f>
        <v>0</v>
      </c>
      <c r="E452" s="72">
        <f>VLOOKUP($B422,[2]Complaints!$A$4:$AJ$39,27,)</f>
        <v>0</v>
      </c>
      <c r="F452" s="72">
        <f>VLOOKUP($B422,[3]Complaints!$A$4:$AJ$39,27,)</f>
        <v>0</v>
      </c>
      <c r="G452" s="72">
        <f>VLOOKUP($B422,[4]Complaints!$A$4:$AJ$39,27,)</f>
        <v>1</v>
      </c>
      <c r="H452" s="72">
        <f>VLOOKUP($B422,[5]Complaints!$A$4:$AJ$39,27,)</f>
        <v>0</v>
      </c>
      <c r="I452" s="72">
        <f>VLOOKUP($B422,[6]Complaints!$A$4:$AJ$39,27,)</f>
        <v>0</v>
      </c>
      <c r="J452" s="72">
        <f>VLOOKUP($B422,[7]Complaints!$A$4:$AJ$39,27,)</f>
        <v>0</v>
      </c>
      <c r="K452" s="72">
        <f>VLOOKUP($B422,[8]Complaints!$A$4:$AJ$39,27,)</f>
        <v>0</v>
      </c>
      <c r="L452" s="72">
        <f>VLOOKUP($B422,[9]Complaints!$A$4:$AJ$39,27,)</f>
        <v>0</v>
      </c>
      <c r="M452" s="72">
        <f>VLOOKUP($B422,[10]Complaints!$A$4:$AJ$39,27,)</f>
        <v>0</v>
      </c>
      <c r="N452" s="72">
        <f>VLOOKUP($B422,[11]Complaints!$A$4:$AJ$39,27,)</f>
        <v>0</v>
      </c>
      <c r="O452" s="73">
        <f>VLOOKUP($B422,[12]Complaints!$A$4:$AJ$39,27,)</f>
        <v>0</v>
      </c>
      <c r="P452" s="69">
        <f t="shared" si="117"/>
        <v>1</v>
      </c>
      <c r="Q452" s="70">
        <f>IF(P452=0,"",P452/$P430)</f>
        <v>0.33333333333333331</v>
      </c>
      <c r="S452" s="18"/>
    </row>
    <row r="453" spans="1:19" ht="15.75" customHeight="1" x14ac:dyDescent="0.2">
      <c r="B453" s="145"/>
      <c r="C453" s="39" t="s">
        <v>87</v>
      </c>
      <c r="D453" s="71">
        <f>VLOOKUP($B422,[1]Complaints!$A$4:$AJ$39,28,)</f>
        <v>0</v>
      </c>
      <c r="E453" s="72">
        <f>VLOOKUP($B422,[2]Complaints!$A$4:$AJ$39,28,)</f>
        <v>0</v>
      </c>
      <c r="F453" s="72">
        <f>VLOOKUP($B422,[3]Complaints!$A$4:$AJ$39,28,)</f>
        <v>0</v>
      </c>
      <c r="G453" s="72">
        <f>VLOOKUP($B422,[4]Complaints!$A$4:$AJ$39,28,)</f>
        <v>0</v>
      </c>
      <c r="H453" s="72">
        <f>VLOOKUP($B422,[5]Complaints!$A$4:$AJ$39,28,)</f>
        <v>0</v>
      </c>
      <c r="I453" s="72">
        <f>VLOOKUP($B422,[6]Complaints!$A$4:$AJ$39,28,)</f>
        <v>0</v>
      </c>
      <c r="J453" s="72">
        <f>VLOOKUP($B422,[7]Complaints!$A$4:$AJ$39,28,)</f>
        <v>0</v>
      </c>
      <c r="K453" s="72">
        <f>VLOOKUP($B422,[8]Complaints!$A$4:$AJ$39,28,)</f>
        <v>0</v>
      </c>
      <c r="L453" s="72">
        <f>VLOOKUP($B422,[9]Complaints!$A$4:$AJ$39,28,)</f>
        <v>0</v>
      </c>
      <c r="M453" s="72">
        <f>VLOOKUP($B422,[10]Complaints!$A$4:$AJ$39,28,)</f>
        <v>0</v>
      </c>
      <c r="N453" s="72">
        <f>VLOOKUP($B422,[11]Complaints!$A$4:$AJ$39,28,)</f>
        <v>0</v>
      </c>
      <c r="O453" s="73">
        <f>VLOOKUP($B422,[12]Complaints!$A$4:$AJ$39,28,)</f>
        <v>0</v>
      </c>
      <c r="P453" s="69">
        <f t="shared" si="117"/>
        <v>0</v>
      </c>
      <c r="Q453" s="70" t="str">
        <f>IF(P453=0,"",P453/$P430)</f>
        <v/>
      </c>
      <c r="R453" s="18"/>
    </row>
    <row r="454" spans="1:19" ht="15.75" customHeight="1" x14ac:dyDescent="0.2">
      <c r="B454" s="145"/>
      <c r="C454" s="38" t="s">
        <v>111</v>
      </c>
      <c r="D454" s="66">
        <f>VLOOKUP($B422,[1]Complaints!$A$4:$AJ$39,29,)</f>
        <v>0</v>
      </c>
      <c r="E454" s="67">
        <f>VLOOKUP($B422,[2]Complaints!$A$4:$AJ$39,29,)</f>
        <v>0</v>
      </c>
      <c r="F454" s="67">
        <f>VLOOKUP($B422,[3]Complaints!$A$4:$AJ$39,29,)</f>
        <v>0</v>
      </c>
      <c r="G454" s="67">
        <f>VLOOKUP($B422,[4]Complaints!$A$4:$AJ$39,29,)</f>
        <v>0</v>
      </c>
      <c r="H454" s="67">
        <f>VLOOKUP($B422,[5]Complaints!$A$4:$AJ$39,29,)</f>
        <v>0</v>
      </c>
      <c r="I454" s="67">
        <f>VLOOKUP($B422,[6]Complaints!$A$4:$AJ$39,29,)</f>
        <v>0</v>
      </c>
      <c r="J454" s="67">
        <f>VLOOKUP($B422,[7]Complaints!$A$4:$AJ$39,29,)</f>
        <v>0</v>
      </c>
      <c r="K454" s="67">
        <f>VLOOKUP($B422,[8]Complaints!$A$4:$AJ$39,29,)</f>
        <v>0</v>
      </c>
      <c r="L454" s="67">
        <f>VLOOKUP($B422,[9]Complaints!$A$4:$AJ$39,29,)</f>
        <v>0</v>
      </c>
      <c r="M454" s="67">
        <f>VLOOKUP($B422,[10]Complaints!$A$4:$AJ$39,29,)</f>
        <v>0</v>
      </c>
      <c r="N454" s="67">
        <f>VLOOKUP($B422,[11]Complaints!$A$4:$AJ$39,29,)</f>
        <v>0</v>
      </c>
      <c r="O454" s="68">
        <f>VLOOKUP($B422,[12]Complaints!$A$4:$AJ$39,29,)</f>
        <v>0</v>
      </c>
      <c r="P454" s="69">
        <f t="shared" si="117"/>
        <v>0</v>
      </c>
      <c r="Q454" s="70" t="str">
        <f>IF(P454=0,"",P454/$P430)</f>
        <v/>
      </c>
      <c r="R454" s="18"/>
    </row>
    <row r="455" spans="1:19" ht="15.75" customHeight="1" x14ac:dyDescent="0.2">
      <c r="B455" s="145"/>
      <c r="C455" s="38" t="s">
        <v>112</v>
      </c>
      <c r="D455" s="66">
        <f>VLOOKUP($B422,[1]Complaints!$A$4:$AJ$39,30,)</f>
        <v>0</v>
      </c>
      <c r="E455" s="67">
        <f>VLOOKUP($B422,[2]Complaints!$A$4:$AJ$39,30,)</f>
        <v>0</v>
      </c>
      <c r="F455" s="67">
        <f>VLOOKUP($B422,[3]Complaints!$A$4:$AJ$39,30,)</f>
        <v>0</v>
      </c>
      <c r="G455" s="67">
        <f>VLOOKUP($B422,[4]Complaints!$A$4:$AJ$39,30,)</f>
        <v>0</v>
      </c>
      <c r="H455" s="67">
        <f>VLOOKUP($B422,[5]Complaints!$A$4:$AJ$39,30,)</f>
        <v>0</v>
      </c>
      <c r="I455" s="67">
        <f>VLOOKUP($B422,[6]Complaints!$A$4:$AJ$39,30,)</f>
        <v>0</v>
      </c>
      <c r="J455" s="67">
        <f>VLOOKUP($B422,[7]Complaints!$A$4:$AJ$39,30,)</f>
        <v>0</v>
      </c>
      <c r="K455" s="67">
        <f>VLOOKUP($B422,[8]Complaints!$A$4:$AJ$39,30,)</f>
        <v>0</v>
      </c>
      <c r="L455" s="67">
        <f>VLOOKUP($B422,[9]Complaints!$A$4:$AJ$39,30,)</f>
        <v>0</v>
      </c>
      <c r="M455" s="67">
        <f>VLOOKUP($B422,[10]Complaints!$A$4:$AJ$39,30,)</f>
        <v>0</v>
      </c>
      <c r="N455" s="67">
        <f>VLOOKUP($B422,[11]Complaints!$A$4:$AJ$39,30,)</f>
        <v>0</v>
      </c>
      <c r="O455" s="68">
        <f>VLOOKUP($B422,[12]Complaints!$A$4:$AJ$39,30,)</f>
        <v>0</v>
      </c>
      <c r="P455" s="69">
        <f t="shared" si="117"/>
        <v>0</v>
      </c>
      <c r="Q455" s="70" t="str">
        <f>IF(P455=0,"",P455/$P430)</f>
        <v/>
      </c>
      <c r="R455" s="18"/>
    </row>
    <row r="456" spans="1:19" ht="15.75" customHeight="1" x14ac:dyDescent="0.2">
      <c r="B456" s="146"/>
      <c r="C456" s="40" t="s">
        <v>119</v>
      </c>
      <c r="D456" s="74">
        <f>VLOOKUP($B422,[1]Complaints!$A$4:$AJ$39,31,)</f>
        <v>0</v>
      </c>
      <c r="E456" s="75">
        <f>VLOOKUP($B422,[2]Complaints!$A$4:$AJ$39,31,)</f>
        <v>0</v>
      </c>
      <c r="F456" s="75">
        <f>VLOOKUP($B422,[3]Complaints!$A$4:$AJ$39,31,)</f>
        <v>0</v>
      </c>
      <c r="G456" s="75">
        <f>VLOOKUP($B422,[4]Complaints!$A$4:$AJ$39,31,)</f>
        <v>0</v>
      </c>
      <c r="H456" s="75">
        <f>VLOOKUP($B422,[5]Complaints!$A$4:$AJ$39,31,)</f>
        <v>0</v>
      </c>
      <c r="I456" s="75">
        <f>VLOOKUP($B422,[6]Complaints!$A$4:$AJ$39,31,)</f>
        <v>0</v>
      </c>
      <c r="J456" s="75">
        <f>VLOOKUP($B422,[7]Complaints!$A$4:$AJ$39,31,)</f>
        <v>0</v>
      </c>
      <c r="K456" s="75">
        <f>VLOOKUP($B422,[8]Complaints!$A$4:$AJ$39,31,)</f>
        <v>0</v>
      </c>
      <c r="L456" s="75">
        <f>VLOOKUP($B422,[9]Complaints!$A$4:$AJ$39,31,)</f>
        <v>0</v>
      </c>
      <c r="M456" s="75">
        <f>VLOOKUP($B422,[10]Complaints!$A$4:$AJ$39,31,)</f>
        <v>0</v>
      </c>
      <c r="N456" s="75">
        <f>VLOOKUP($B422,[11]Complaints!$A$4:$AJ$39,31,)</f>
        <v>0</v>
      </c>
      <c r="O456" s="76">
        <f>VLOOKUP($B422,[12]Complaints!$A$4:$AJ$39,31,)</f>
        <v>0</v>
      </c>
      <c r="P456" s="77">
        <f t="shared" si="117"/>
        <v>0</v>
      </c>
      <c r="Q456" s="50" t="str">
        <f>IF(P456=0,"",P456/$P430)</f>
        <v/>
      </c>
      <c r="R456" s="18"/>
    </row>
    <row r="457" spans="1:19" ht="15.75" customHeight="1" x14ac:dyDescent="0.2">
      <c r="B457" s="146"/>
      <c r="C457" s="38" t="s">
        <v>113</v>
      </c>
      <c r="D457" s="66">
        <f>VLOOKUP($B422,[1]Complaints!$A$4:$AJ$39,32,)</f>
        <v>0</v>
      </c>
      <c r="E457" s="67">
        <f>VLOOKUP($B422,[2]Complaints!$A$4:$AJ$39,32,)</f>
        <v>0</v>
      </c>
      <c r="F457" s="67">
        <f>VLOOKUP($B422,[3]Complaints!$A$4:$AJ$39,32,)</f>
        <v>0</v>
      </c>
      <c r="G457" s="67">
        <f>VLOOKUP($B422,[4]Complaints!$A$4:$AJ$39,32,)</f>
        <v>0</v>
      </c>
      <c r="H457" s="67">
        <f>VLOOKUP($B422,[5]Complaints!$A$4:$AJ$39,32,)</f>
        <v>0</v>
      </c>
      <c r="I457" s="67">
        <f>VLOOKUP($B422,[6]Complaints!$A$4:$AJ$39,32,)</f>
        <v>0</v>
      </c>
      <c r="J457" s="67">
        <f>VLOOKUP($B422,[7]Complaints!$A$4:$AJ$39,32,)</f>
        <v>0</v>
      </c>
      <c r="K457" s="67">
        <f>VLOOKUP($B422,[8]Complaints!$A$4:$AJ$39,32,)</f>
        <v>0</v>
      </c>
      <c r="L457" s="67">
        <f>VLOOKUP($B422,[9]Complaints!$A$4:$AJ$39,32,)</f>
        <v>0</v>
      </c>
      <c r="M457" s="67">
        <f>VLOOKUP($B422,[10]Complaints!$A$4:$AJ$39,32,)</f>
        <v>0</v>
      </c>
      <c r="N457" s="67">
        <f>VLOOKUP($B422,[11]Complaints!$A$4:$AJ$39,32,)</f>
        <v>0</v>
      </c>
      <c r="O457" s="68">
        <f>VLOOKUP($B422,[12]Complaints!$A$4:$AJ$39,32,)</f>
        <v>0</v>
      </c>
      <c r="P457" s="69">
        <f t="shared" si="117"/>
        <v>0</v>
      </c>
      <c r="Q457" s="70" t="str">
        <f>IF(P457=0,"",P457/$P430)</f>
        <v/>
      </c>
      <c r="R457" s="18"/>
    </row>
    <row r="458" spans="1:19" ht="15.75" customHeight="1" x14ac:dyDescent="0.2">
      <c r="B458" s="146"/>
      <c r="C458" s="38" t="s">
        <v>114</v>
      </c>
      <c r="D458" s="66">
        <f>VLOOKUP($B422,[1]Complaints!$A$4:$AJ$39,33,)</f>
        <v>0</v>
      </c>
      <c r="E458" s="67">
        <f>VLOOKUP($B422,[2]Complaints!$A$4:$AJ$39,33,)</f>
        <v>0</v>
      </c>
      <c r="F458" s="67">
        <f>VLOOKUP($B422,[3]Complaints!$A$4:$AJ$39,33,)</f>
        <v>0</v>
      </c>
      <c r="G458" s="67">
        <f>VLOOKUP($B422,[4]Complaints!$A$4:$AJ$39,33,)</f>
        <v>0</v>
      </c>
      <c r="H458" s="67">
        <f>VLOOKUP($B422,[5]Complaints!$A$4:$AJ$39,33,)</f>
        <v>0</v>
      </c>
      <c r="I458" s="67">
        <f>VLOOKUP($B422,[6]Complaints!$A$4:$AJ$39,33,)</f>
        <v>0</v>
      </c>
      <c r="J458" s="67">
        <f>VLOOKUP($B422,[7]Complaints!$A$4:$AJ$39,33,)</f>
        <v>0</v>
      </c>
      <c r="K458" s="67">
        <f>VLOOKUP($B422,[8]Complaints!$A$4:$AJ$39,33,)</f>
        <v>0</v>
      </c>
      <c r="L458" s="67">
        <f>VLOOKUP($B422,[9]Complaints!$A$4:$AJ$39,33,)</f>
        <v>0</v>
      </c>
      <c r="M458" s="67">
        <f>VLOOKUP($B422,[10]Complaints!$A$4:$AJ$39,33,)</f>
        <v>0</v>
      </c>
      <c r="N458" s="67">
        <f>VLOOKUP($B422,[11]Complaints!$A$4:$AJ$39,33,)</f>
        <v>0</v>
      </c>
      <c r="O458" s="68">
        <f>VLOOKUP($B422,[12]Complaints!$A$4:$AJ$39,33,)</f>
        <v>0</v>
      </c>
      <c r="P458" s="69">
        <f t="shared" si="117"/>
        <v>0</v>
      </c>
      <c r="Q458" s="70" t="str">
        <f>IF(P458=0,"",P458/$P430)</f>
        <v/>
      </c>
      <c r="R458" s="18"/>
    </row>
    <row r="459" spans="1:19" ht="15.75" customHeight="1" x14ac:dyDescent="0.2">
      <c r="B459" s="146"/>
      <c r="C459" s="38" t="s">
        <v>115</v>
      </c>
      <c r="D459" s="66">
        <f>VLOOKUP($B422,[1]Complaints!$A$4:$AJ$39,34,)</f>
        <v>0</v>
      </c>
      <c r="E459" s="67">
        <f>VLOOKUP($B422,[2]Complaints!$A$4:$AJ$39,34,)</f>
        <v>0</v>
      </c>
      <c r="F459" s="67">
        <f>VLOOKUP($B422,[3]Complaints!$A$4:$AJ$39,34,)</f>
        <v>0</v>
      </c>
      <c r="G459" s="67">
        <f>VLOOKUP($B422,[4]Complaints!$A$4:$AJ$39,34,)</f>
        <v>0</v>
      </c>
      <c r="H459" s="67">
        <f>VLOOKUP($B422,[5]Complaints!$A$4:$AJ$39,34,)</f>
        <v>0</v>
      </c>
      <c r="I459" s="67">
        <f>VLOOKUP($B422,[6]Complaints!$A$4:$AJ$39,34,)</f>
        <v>0</v>
      </c>
      <c r="J459" s="67">
        <f>VLOOKUP($B422,[7]Complaints!$A$4:$AJ$39,34,)</f>
        <v>0</v>
      </c>
      <c r="K459" s="67">
        <f>VLOOKUP($B422,[8]Complaints!$A$4:$AJ$39,34,)</f>
        <v>0</v>
      </c>
      <c r="L459" s="67">
        <f>VLOOKUP($B422,[9]Complaints!$A$4:$AJ$39,34,)</f>
        <v>0</v>
      </c>
      <c r="M459" s="67">
        <f>VLOOKUP($B422,[10]Complaints!$A$4:$AJ$39,34,)</f>
        <v>0</v>
      </c>
      <c r="N459" s="67">
        <f>VLOOKUP($B422,[11]Complaints!$A$4:$AJ$39,34,)</f>
        <v>0</v>
      </c>
      <c r="O459" s="68">
        <f>VLOOKUP($B422,[12]Complaints!$A$4:$AJ$39,34,)</f>
        <v>0</v>
      </c>
      <c r="P459" s="69">
        <f t="shared" si="117"/>
        <v>0</v>
      </c>
      <c r="Q459" s="70" t="str">
        <f>IF(P459=0,"",P459/$P430)</f>
        <v/>
      </c>
      <c r="R459" s="18"/>
    </row>
    <row r="460" spans="1:19" ht="15.75" customHeight="1" x14ac:dyDescent="0.2">
      <c r="B460" s="146"/>
      <c r="C460" s="38" t="s">
        <v>116</v>
      </c>
      <c r="D460" s="66">
        <f>VLOOKUP($B422,[1]Complaints!$A$4:$AJ$39,35,)</f>
        <v>0</v>
      </c>
      <c r="E460" s="67">
        <f>VLOOKUP($B422,[2]Complaints!$A$4:$AJ$39,35,)</f>
        <v>0</v>
      </c>
      <c r="F460" s="67">
        <f>VLOOKUP($B422,[3]Complaints!$A$4:$AJ$39,35,)</f>
        <v>0</v>
      </c>
      <c r="G460" s="67">
        <f>VLOOKUP($B422,[4]Complaints!$A$4:$AJ$39,35,)</f>
        <v>0</v>
      </c>
      <c r="H460" s="67">
        <f>VLOOKUP($B422,[5]Complaints!$A$4:$AJ$39,35,)</f>
        <v>0</v>
      </c>
      <c r="I460" s="67">
        <f>VLOOKUP($B422,[6]Complaints!$A$4:$AJ$39,35,)</f>
        <v>0</v>
      </c>
      <c r="J460" s="67">
        <f>VLOOKUP($B422,[7]Complaints!$A$4:$AJ$39,35,)</f>
        <v>0</v>
      </c>
      <c r="K460" s="67">
        <f>VLOOKUP($B422,[8]Complaints!$A$4:$AJ$39,35,)</f>
        <v>0</v>
      </c>
      <c r="L460" s="67">
        <f>VLOOKUP($B422,[9]Complaints!$A$4:$AJ$39,35,)</f>
        <v>0</v>
      </c>
      <c r="M460" s="67">
        <f>VLOOKUP($B422,[10]Complaints!$A$4:$AJ$39,35,)</f>
        <v>0</v>
      </c>
      <c r="N460" s="67">
        <f>VLOOKUP($B422,[11]Complaints!$A$4:$AJ$39,35,)</f>
        <v>0</v>
      </c>
      <c r="O460" s="68">
        <f>VLOOKUP($B422,[12]Complaints!$A$4:$AJ$39,35,)</f>
        <v>0</v>
      </c>
      <c r="P460" s="69">
        <f t="shared" si="117"/>
        <v>0</v>
      </c>
      <c r="Q460" s="70" t="str">
        <f>IF(P460=0,"",P460/$P430)</f>
        <v/>
      </c>
      <c r="R460" s="18"/>
    </row>
    <row r="461" spans="1:19" ht="15.75" customHeight="1" thickBot="1" x14ac:dyDescent="0.25">
      <c r="B461" s="147"/>
      <c r="C461" s="41" t="s">
        <v>117</v>
      </c>
      <c r="D461" s="78">
        <f>VLOOKUP($B422,[1]Complaints!$A$4:$AJ$39,36,)</f>
        <v>0</v>
      </c>
      <c r="E461" s="79">
        <f>VLOOKUP($B422,[2]Complaints!$A$4:$AJ$39,36,)</f>
        <v>0</v>
      </c>
      <c r="F461" s="79">
        <f>VLOOKUP($B422,[3]Complaints!$A$4:$AJ$39,36,)</f>
        <v>0</v>
      </c>
      <c r="G461" s="79">
        <f>VLOOKUP($B422,[4]Complaints!$A$4:$AJ$39,36,)</f>
        <v>0</v>
      </c>
      <c r="H461" s="79">
        <f>VLOOKUP($B422,[5]Complaints!$A$4:$AJ$39,36,)</f>
        <v>0</v>
      </c>
      <c r="I461" s="79">
        <f>VLOOKUP($B422,[6]Complaints!$A$4:$AJ$39,36,)</f>
        <v>0</v>
      </c>
      <c r="J461" s="79">
        <f>VLOOKUP($B422,[7]Complaints!$A$4:$AJ$39,36,)</f>
        <v>0</v>
      </c>
      <c r="K461" s="79">
        <f>VLOOKUP($B422,[8]Complaints!$A$4:$AJ$39,36,)</f>
        <v>0</v>
      </c>
      <c r="L461" s="79">
        <f>VLOOKUP($B422,[9]Complaints!$A$4:$AJ$39,36,)</f>
        <v>0</v>
      </c>
      <c r="M461" s="79">
        <f>VLOOKUP($B422,[10]Complaints!$A$4:$AJ$39,36,)</f>
        <v>0</v>
      </c>
      <c r="N461" s="79">
        <f>VLOOKUP($B422,[11]Complaints!$A$4:$AJ$39,36,)</f>
        <v>0</v>
      </c>
      <c r="O461" s="80">
        <f>VLOOKUP($B422,[12]Complaints!$A$4:$AJ$39,36,)</f>
        <v>0</v>
      </c>
      <c r="P461" s="81">
        <f t="shared" si="117"/>
        <v>0</v>
      </c>
      <c r="Q461" s="82" t="str">
        <f>IF(P461=0,"",P461/$P430)</f>
        <v/>
      </c>
      <c r="R461" s="18"/>
    </row>
    <row r="462" spans="1:19" ht="15.75" customHeight="1" thickBot="1" x14ac:dyDescent="0.25">
      <c r="R462" s="18"/>
      <c r="S462" s="19"/>
    </row>
    <row r="463" spans="1:19" ht="15.75" customHeight="1" x14ac:dyDescent="0.25">
      <c r="B463" s="158" t="s">
        <v>21</v>
      </c>
      <c r="C463" s="159"/>
      <c r="D463" s="32" t="s">
        <v>0</v>
      </c>
      <c r="E463" s="20" t="s">
        <v>1</v>
      </c>
      <c r="F463" s="20" t="s">
        <v>2</v>
      </c>
      <c r="G463" s="20" t="s">
        <v>3</v>
      </c>
      <c r="H463" s="20" t="s">
        <v>4</v>
      </c>
      <c r="I463" s="20" t="s">
        <v>5</v>
      </c>
      <c r="J463" s="20" t="s">
        <v>6</v>
      </c>
      <c r="K463" s="20" t="s">
        <v>7</v>
      </c>
      <c r="L463" s="20" t="s">
        <v>8</v>
      </c>
      <c r="M463" s="20" t="s">
        <v>9</v>
      </c>
      <c r="N463" s="20" t="s">
        <v>10</v>
      </c>
      <c r="O463" s="33" t="s">
        <v>11</v>
      </c>
      <c r="P463" s="35" t="s">
        <v>12</v>
      </c>
      <c r="Q463" s="160" t="s">
        <v>104</v>
      </c>
      <c r="R463" s="18"/>
    </row>
    <row r="464" spans="1:19" ht="15.75" customHeight="1" thickBot="1" x14ac:dyDescent="0.3">
      <c r="B464" s="162" t="s">
        <v>63</v>
      </c>
      <c r="C464" s="163"/>
      <c r="D464" s="34">
        <v>2020</v>
      </c>
      <c r="E464" s="34">
        <v>2020</v>
      </c>
      <c r="F464" s="34">
        <v>2020</v>
      </c>
      <c r="G464" s="34">
        <v>2020</v>
      </c>
      <c r="H464" s="34">
        <v>2020</v>
      </c>
      <c r="I464" s="34">
        <v>2020</v>
      </c>
      <c r="J464" s="34">
        <v>2020</v>
      </c>
      <c r="K464" s="34">
        <v>2020</v>
      </c>
      <c r="L464" s="34">
        <v>2020</v>
      </c>
      <c r="M464" s="25">
        <v>2021</v>
      </c>
      <c r="N464" s="25">
        <v>2021</v>
      </c>
      <c r="O464" s="25">
        <v>2021</v>
      </c>
      <c r="P464" s="36" t="s">
        <v>122</v>
      </c>
      <c r="Q464" s="161"/>
      <c r="R464" s="18"/>
    </row>
    <row r="465" spans="2:18" ht="12.75" customHeight="1" thickBot="1" x14ac:dyDescent="0.25">
      <c r="B465" s="164" t="s">
        <v>38</v>
      </c>
      <c r="C465" s="165"/>
      <c r="D465" s="42">
        <f>VLOOKUP($B464,[1]Complaints!$A$4:$AJ$39,2,)</f>
        <v>686</v>
      </c>
      <c r="E465" s="43">
        <f>VLOOKUP($B464,[2]Complaints!$A$4:$AJ$39,2,)</f>
        <v>874</v>
      </c>
      <c r="F465" s="43">
        <f>VLOOKUP($B464,[3]Complaints!$A$4:$AJ$39,2)</f>
        <v>1418</v>
      </c>
      <c r="G465" s="43">
        <f>VLOOKUP($B464,[4]Complaints!$A$4:$AJ$39,2)</f>
        <v>2113</v>
      </c>
      <c r="H465" s="43">
        <f>VLOOKUP($B464,[5]Complaints!$A$4:$AJ$39,2)</f>
        <v>2394</v>
      </c>
      <c r="I465" s="43">
        <f>VLOOKUP($B464,[6]Complaints!$A$4:$AJ$39,2)</f>
        <v>2528</v>
      </c>
      <c r="J465" s="43">
        <f>VLOOKUP($B464,[7]Complaints!$A$4:$AJ$39,2)</f>
        <v>2536</v>
      </c>
      <c r="K465" s="43">
        <f>VLOOKUP($B464,[8]Complaints!$A$4:$AJ$39,2)</f>
        <v>2536</v>
      </c>
      <c r="L465" s="43">
        <f>VLOOKUP($B464,[9]Complaints!$A$4:$AJ$39,2)</f>
        <v>2474</v>
      </c>
      <c r="M465" s="43">
        <f>VLOOKUP($B464,[10]Complaints!$A$4:$AJ$39,2)</f>
        <v>1790</v>
      </c>
      <c r="N465" s="43">
        <f>VLOOKUP($B464,[11]Complaints!$A$4:$AJ$39,2)</f>
        <v>0</v>
      </c>
      <c r="O465" s="44">
        <f>VLOOKUP($B464,[12]Complaints!$A$4:$AJ$39,2)</f>
        <v>0</v>
      </c>
      <c r="P465" s="45">
        <f>SUM(D465:O465)</f>
        <v>19349</v>
      </c>
      <c r="Q465" s="46"/>
      <c r="R465" s="18"/>
    </row>
    <row r="466" spans="2:18" ht="15.75" customHeight="1" x14ac:dyDescent="0.2">
      <c r="B466" s="166" t="s">
        <v>94</v>
      </c>
      <c r="C466" s="167"/>
      <c r="D466" s="47">
        <f>VLOOKUP($B464,[1]Complaints!$A$4:$AF$39,3,)</f>
        <v>0</v>
      </c>
      <c r="E466" s="48">
        <f>VLOOKUP($B464,[2]Complaints!$A$4:$AF$39,3,)</f>
        <v>1</v>
      </c>
      <c r="F466" s="48">
        <f>VLOOKUP($B464,[3]Complaints!$A$4:$AG$39,3,)</f>
        <v>2</v>
      </c>
      <c r="G466" s="48">
        <f>VLOOKUP($B464,[4]Complaints!$A$4:$AG$39,3,)</f>
        <v>4</v>
      </c>
      <c r="H466" s="48">
        <f>VLOOKUP($B464,[5]Complaints!$A$4:$AG$39,3,)</f>
        <v>3</v>
      </c>
      <c r="I466" s="48">
        <f>VLOOKUP($B464,[6]Complaints!$A$4:$AG$39,3,)</f>
        <v>1</v>
      </c>
      <c r="J466" s="48">
        <f>VLOOKUP($B464,[7]Complaints!$A$4:$AG$39,3,)</f>
        <v>5</v>
      </c>
      <c r="K466" s="48">
        <f>VLOOKUP($B464,[8]Complaints!$A$4:$AG$39,3,)</f>
        <v>5</v>
      </c>
      <c r="L466" s="48">
        <f>VLOOKUP($B464,[9]Complaints!$A$4:$AG$39,3,)</f>
        <v>1</v>
      </c>
      <c r="M466" s="48">
        <f>VLOOKUP($B464,[10]Complaints!$A$4:$AG$39,3,)</f>
        <v>2</v>
      </c>
      <c r="N466" s="48">
        <f>VLOOKUP($B464,[11]Complaints!$A$4:$AG$39,3,)</f>
        <v>0</v>
      </c>
      <c r="O466" s="49">
        <f>VLOOKUP($B464,[12]Complaints!$A$4:$AG$39,3,)</f>
        <v>0</v>
      </c>
      <c r="P466" s="45">
        <f>SUM(D466:O466)</f>
        <v>24</v>
      </c>
      <c r="Q466" s="50"/>
      <c r="R466" s="18"/>
    </row>
    <row r="467" spans="2:18" ht="15.75" customHeight="1" x14ac:dyDescent="0.2">
      <c r="B467" s="26"/>
      <c r="C467" s="28" t="s">
        <v>102</v>
      </c>
      <c r="D467" s="51">
        <f>IF(D465=0,"",D466/D465)</f>
        <v>0</v>
      </c>
      <c r="E467" s="52">
        <f t="shared" ref="E467:O467" si="118">IF(E465=0,"",E466/E465)</f>
        <v>1.1441647597254005E-3</v>
      </c>
      <c r="F467" s="52">
        <f t="shared" si="118"/>
        <v>1.4104372355430183E-3</v>
      </c>
      <c r="G467" s="52">
        <f t="shared" si="118"/>
        <v>1.893043066729768E-3</v>
      </c>
      <c r="H467" s="52">
        <f t="shared" si="118"/>
        <v>1.2531328320802004E-3</v>
      </c>
      <c r="I467" s="52">
        <f t="shared" si="118"/>
        <v>3.9556962025316455E-4</v>
      </c>
      <c r="J467" s="52">
        <f t="shared" si="118"/>
        <v>1.9716088328075709E-3</v>
      </c>
      <c r="K467" s="52">
        <f t="shared" si="118"/>
        <v>1.9716088328075709E-3</v>
      </c>
      <c r="L467" s="52">
        <f t="shared" si="118"/>
        <v>4.0420371867421178E-4</v>
      </c>
      <c r="M467" s="52">
        <f t="shared" si="118"/>
        <v>1.1173184357541898E-3</v>
      </c>
      <c r="N467" s="52" t="str">
        <f t="shared" si="118"/>
        <v/>
      </c>
      <c r="O467" s="53" t="str">
        <f t="shared" si="118"/>
        <v/>
      </c>
      <c r="P467" s="54">
        <f>IF(P466="","",P466/P465)</f>
        <v>1.2403741795441626E-3</v>
      </c>
      <c r="Q467" s="50"/>
      <c r="R467" s="18"/>
    </row>
    <row r="468" spans="2:18" s="21" customFormat="1" ht="15.75" customHeight="1" x14ac:dyDescent="0.2">
      <c r="B468" s="155" t="s">
        <v>95</v>
      </c>
      <c r="C468" s="156"/>
      <c r="D468" s="47">
        <f>VLOOKUP($B464,[1]Complaints!$A$4:$AF$39,4,)</f>
        <v>0</v>
      </c>
      <c r="E468" s="48">
        <f>VLOOKUP($B464,[2]Complaints!$A$4:$AF$39,4,)</f>
        <v>1</v>
      </c>
      <c r="F468" s="48">
        <f>VLOOKUP($B464,[3]Complaints!$A$4:$AG$39,4,)</f>
        <v>1</v>
      </c>
      <c r="G468" s="48">
        <f>VLOOKUP($B464,[4]Complaints!$A$4:$AG$39,4,)</f>
        <v>1</v>
      </c>
      <c r="H468" s="48">
        <f>VLOOKUP($B464,[5]Complaints!$A$4:$AG$39,4,)</f>
        <v>0</v>
      </c>
      <c r="I468" s="48">
        <f>VLOOKUP($B464,[6]Complaints!$A$4:$AG$39,4,)</f>
        <v>0</v>
      </c>
      <c r="J468" s="48">
        <f>VLOOKUP($B464,[7]Complaints!$A$4:$AG$39,4,)</f>
        <v>2</v>
      </c>
      <c r="K468" s="48">
        <f>VLOOKUP($B464,[8]Complaints!$A$4:$AG$39,4,)</f>
        <v>2</v>
      </c>
      <c r="L468" s="48">
        <f>VLOOKUP($B464,[9]Complaints!$A$4:$AG$39,4,)</f>
        <v>0</v>
      </c>
      <c r="M468" s="48">
        <f>VLOOKUP($B464,[10]Complaints!$A$4:$AG$39,4,)</f>
        <v>0</v>
      </c>
      <c r="N468" s="48">
        <f>VLOOKUP($B464,[11]Complaints!$A$4:$AG$39,4,)</f>
        <v>0</v>
      </c>
      <c r="O468" s="49">
        <f>VLOOKUP($B464,[12]Complaints!$A$4:$AG$39,4,)</f>
        <v>0</v>
      </c>
      <c r="P468" s="55">
        <f t="shared" ref="P468" si="119">SUM(D468:O468)</f>
        <v>7</v>
      </c>
      <c r="Q468" s="50"/>
    </row>
    <row r="469" spans="2:18" ht="15.75" customHeight="1" x14ac:dyDescent="0.2">
      <c r="B469" s="26"/>
      <c r="C469" s="28" t="s">
        <v>98</v>
      </c>
      <c r="D469" s="51">
        <f>IF(D465=0,"",D468/D465)</f>
        <v>0</v>
      </c>
      <c r="E469" s="52">
        <f t="shared" ref="E469:O469" si="120">IF(E465=0,"",E468/E465)</f>
        <v>1.1441647597254005E-3</v>
      </c>
      <c r="F469" s="52">
        <f t="shared" si="120"/>
        <v>7.0521861777150916E-4</v>
      </c>
      <c r="G469" s="52">
        <f t="shared" si="120"/>
        <v>4.7326076668244201E-4</v>
      </c>
      <c r="H469" s="52">
        <f t="shared" si="120"/>
        <v>0</v>
      </c>
      <c r="I469" s="52">
        <f t="shared" si="120"/>
        <v>0</v>
      </c>
      <c r="J469" s="52">
        <f t="shared" si="120"/>
        <v>7.8864353312302837E-4</v>
      </c>
      <c r="K469" s="52">
        <f t="shared" si="120"/>
        <v>7.8864353312302837E-4</v>
      </c>
      <c r="L469" s="52">
        <f t="shared" si="120"/>
        <v>0</v>
      </c>
      <c r="M469" s="52">
        <f t="shared" si="120"/>
        <v>0</v>
      </c>
      <c r="N469" s="52" t="str">
        <f t="shared" si="120"/>
        <v/>
      </c>
      <c r="O469" s="53" t="str">
        <f t="shared" si="120"/>
        <v/>
      </c>
      <c r="P469" s="54">
        <f>IF(P468="","",P468/P465)</f>
        <v>3.6177580236704737E-4</v>
      </c>
      <c r="Q469" s="50"/>
      <c r="R469" s="18"/>
    </row>
    <row r="470" spans="2:18" ht="15.75" customHeight="1" x14ac:dyDescent="0.2">
      <c r="B470" s="155" t="s">
        <v>96</v>
      </c>
      <c r="C470" s="156"/>
      <c r="D470" s="47">
        <f>VLOOKUP($B464,[1]Complaints!$A$4:$AF$39,5,)</f>
        <v>0</v>
      </c>
      <c r="E470" s="48">
        <f>VLOOKUP($B464,[2]Complaints!$A$4:$AF$39,5,)</f>
        <v>0</v>
      </c>
      <c r="F470" s="48">
        <f>VLOOKUP($B464,[3]Complaints!$A$4:$AG$39,5,)</f>
        <v>1</v>
      </c>
      <c r="G470" s="48">
        <f>VLOOKUP($B464,[4]Complaints!$A$4:$AG$39,5,)</f>
        <v>3</v>
      </c>
      <c r="H470" s="48">
        <f>VLOOKUP($B464,[5]Complaints!$A$4:$AG$39,5,)</f>
        <v>3</v>
      </c>
      <c r="I470" s="48">
        <f>VLOOKUP($B464,[6]Complaints!$A$4:$AG$39,5,)</f>
        <v>1</v>
      </c>
      <c r="J470" s="48">
        <f>VLOOKUP($B464,[7]Complaints!$A$4:$AG$39,5,)</f>
        <v>3</v>
      </c>
      <c r="K470" s="48">
        <f>VLOOKUP($B464,[8]Complaints!$A$4:$AG$39,5,)</f>
        <v>3</v>
      </c>
      <c r="L470" s="48">
        <f>VLOOKUP($B464,[9]Complaints!$A$4:$AG$39,5,)</f>
        <v>1</v>
      </c>
      <c r="M470" s="48">
        <f>VLOOKUP($B464,[10]Complaints!$A$4:$AG$39,5,)</f>
        <v>2</v>
      </c>
      <c r="N470" s="48">
        <f>VLOOKUP($B464,[11]Complaints!$A$4:$AG$39,5,)</f>
        <v>0</v>
      </c>
      <c r="O470" s="49">
        <f>VLOOKUP($B464,[12]Complaints!$A$4:$AG$39,5,)</f>
        <v>0</v>
      </c>
      <c r="P470" s="55">
        <f t="shared" ref="P470" si="121">SUM(D470:O470)</f>
        <v>17</v>
      </c>
      <c r="Q470" s="50"/>
      <c r="R470" s="18"/>
    </row>
    <row r="471" spans="2:18" ht="15.75" customHeight="1" x14ac:dyDescent="0.2">
      <c r="B471" s="26"/>
      <c r="C471" s="28" t="s">
        <v>99</v>
      </c>
      <c r="D471" s="51">
        <f>IF(D465=0,"",D470/D465)</f>
        <v>0</v>
      </c>
      <c r="E471" s="52">
        <f t="shared" ref="E471:O471" si="122">IF(E465=0,"",E470/E465)</f>
        <v>0</v>
      </c>
      <c r="F471" s="52">
        <f t="shared" si="122"/>
        <v>7.0521861777150916E-4</v>
      </c>
      <c r="G471" s="52">
        <f t="shared" si="122"/>
        <v>1.419782300047326E-3</v>
      </c>
      <c r="H471" s="52">
        <f t="shared" si="122"/>
        <v>1.2531328320802004E-3</v>
      </c>
      <c r="I471" s="52">
        <f t="shared" si="122"/>
        <v>3.9556962025316455E-4</v>
      </c>
      <c r="J471" s="52">
        <f t="shared" si="122"/>
        <v>1.1829652996845426E-3</v>
      </c>
      <c r="K471" s="52">
        <f t="shared" si="122"/>
        <v>1.1829652996845426E-3</v>
      </c>
      <c r="L471" s="52">
        <f t="shared" si="122"/>
        <v>4.0420371867421178E-4</v>
      </c>
      <c r="M471" s="52">
        <f t="shared" si="122"/>
        <v>1.1173184357541898E-3</v>
      </c>
      <c r="N471" s="52" t="str">
        <f t="shared" si="122"/>
        <v/>
      </c>
      <c r="O471" s="53" t="str">
        <f t="shared" si="122"/>
        <v/>
      </c>
      <c r="P471" s="54">
        <f>IF(P470="","",P470/P465)</f>
        <v>8.7859837717711514E-4</v>
      </c>
      <c r="Q471" s="50"/>
      <c r="R471" s="18"/>
    </row>
    <row r="472" spans="2:18" ht="15.75" customHeight="1" x14ac:dyDescent="0.2">
      <c r="B472" s="157" t="s">
        <v>97</v>
      </c>
      <c r="C472" s="156"/>
      <c r="D472" s="47">
        <f>VLOOKUP($B464,[1]Complaints!$A$4:$AF$39,6,)</f>
        <v>0</v>
      </c>
      <c r="E472" s="48">
        <f>VLOOKUP($B464,[2]Complaints!$A$4:$AF$39,6,)</f>
        <v>0</v>
      </c>
      <c r="F472" s="48">
        <f>VLOOKUP($B464,[3]Complaints!$A$4:$AG$39,6,)</f>
        <v>0</v>
      </c>
      <c r="G472" s="48">
        <f>VLOOKUP($B464,[4]Complaints!$A$4:$AG$39,6,)</f>
        <v>1</v>
      </c>
      <c r="H472" s="48">
        <f>VLOOKUP($B464,[5]Complaints!$A$4:$AG$39,6,)</f>
        <v>0</v>
      </c>
      <c r="I472" s="48">
        <f>VLOOKUP($B464,[6]Complaints!$A$4:$AG$39,6,)</f>
        <v>1</v>
      </c>
      <c r="J472" s="48">
        <f>VLOOKUP($B464,[7]Complaints!$A$4:$AG$39,6,)</f>
        <v>2</v>
      </c>
      <c r="K472" s="48">
        <f>VLOOKUP($B464,[8]Complaints!$A$4:$AG$39,6,)</f>
        <v>2</v>
      </c>
      <c r="L472" s="48">
        <f>VLOOKUP($B464,[9]Complaints!$A$4:$AG$39,6,)</f>
        <v>0</v>
      </c>
      <c r="M472" s="48">
        <f>VLOOKUP($B464,[10]Complaints!$A$4:$AG$39,6,)</f>
        <v>2</v>
      </c>
      <c r="N472" s="48">
        <f>VLOOKUP($B464,[11]Complaints!$A$4:$AG$39,6,)</f>
        <v>0</v>
      </c>
      <c r="O472" s="49">
        <f>VLOOKUP($B464,[12]Complaints!$A$4:$AG$39,6,)</f>
        <v>0</v>
      </c>
      <c r="P472" s="55">
        <f t="shared" ref="P472" si="123">SUM(D472:O472)</f>
        <v>8</v>
      </c>
      <c r="Q472" s="50"/>
      <c r="R472" s="18"/>
    </row>
    <row r="473" spans="2:18" ht="15.75" customHeight="1" thickBot="1" x14ac:dyDescent="0.25">
      <c r="B473" s="27"/>
      <c r="C473" s="29" t="s">
        <v>100</v>
      </c>
      <c r="D473" s="56" t="str">
        <f>IF(D472=0,"",D472/D470)</f>
        <v/>
      </c>
      <c r="E473" s="57" t="str">
        <f t="shared" ref="E473:H473" si="124">IF(E472=0,"",E472/E470)</f>
        <v/>
      </c>
      <c r="F473" s="57" t="str">
        <f t="shared" si="124"/>
        <v/>
      </c>
      <c r="G473" s="57">
        <f t="shared" si="124"/>
        <v>0.33333333333333331</v>
      </c>
      <c r="H473" s="57" t="str">
        <f t="shared" si="124"/>
        <v/>
      </c>
      <c r="I473" s="57">
        <f>IF(I472=0,"",I472/I470)</f>
        <v>1</v>
      </c>
      <c r="J473" s="57">
        <f t="shared" ref="J473:O473" si="125">IF(J472=0,"",J472/J470)</f>
        <v>0.66666666666666663</v>
      </c>
      <c r="K473" s="57">
        <f t="shared" si="125"/>
        <v>0.66666666666666663</v>
      </c>
      <c r="L473" s="57" t="str">
        <f t="shared" si="125"/>
        <v/>
      </c>
      <c r="M473" s="57">
        <f t="shared" si="125"/>
        <v>1</v>
      </c>
      <c r="N473" s="57" t="str">
        <f t="shared" si="125"/>
        <v/>
      </c>
      <c r="O473" s="58" t="str">
        <f t="shared" si="125"/>
        <v/>
      </c>
      <c r="P473" s="59">
        <f>IF(P472=0,"",P472/P470)</f>
        <v>0.47058823529411764</v>
      </c>
      <c r="Q473" s="60"/>
      <c r="R473" s="18"/>
    </row>
    <row r="474" spans="2:18" ht="15.75" customHeight="1" x14ac:dyDescent="0.2">
      <c r="B474" s="168" t="s">
        <v>103</v>
      </c>
      <c r="C474" s="30" t="s">
        <v>77</v>
      </c>
      <c r="D474" s="61">
        <f>VLOOKUP($B464,[1]Complaints!$A$4:$AJ$39,7,)</f>
        <v>0</v>
      </c>
      <c r="E474" s="43">
        <f>VLOOKUP($B464,[2]Complaints!$A$4:$AJ$39,7,)</f>
        <v>0</v>
      </c>
      <c r="F474" s="43">
        <f>VLOOKUP($B464,[3]Complaints!$A$4:$AJ$39,7,)</f>
        <v>0</v>
      </c>
      <c r="G474" s="43">
        <f>VLOOKUP($B464,[4]Complaints!$A$4:$AJ$39,7,)</f>
        <v>1</v>
      </c>
      <c r="H474" s="43">
        <f>VLOOKUP($B464,[5]Complaints!$A$4:$AJ$39,7,)</f>
        <v>0</v>
      </c>
      <c r="I474" s="43">
        <f>VLOOKUP($B464,[6]Complaints!$A$4:$AJ$39,7,)</f>
        <v>0</v>
      </c>
      <c r="J474" s="43">
        <f>VLOOKUP($B464,[7]Complaints!$A$4:$AJ$39,7,)</f>
        <v>0</v>
      </c>
      <c r="K474" s="43">
        <f>VLOOKUP($B464,[8]Complaints!$A$4:$AJ$39,7,)</f>
        <v>0</v>
      </c>
      <c r="L474" s="43">
        <f>VLOOKUP($B464,[9]Complaints!$A$4:$AJ$39,7,)</f>
        <v>0</v>
      </c>
      <c r="M474" s="43">
        <f>VLOOKUP($B464,[10]Complaints!$A$4:$AJ$39,7,)</f>
        <v>0</v>
      </c>
      <c r="N474" s="43">
        <f>VLOOKUP($B464,[11]Complaints!$A$4:$AJ$39,7,)</f>
        <v>0</v>
      </c>
      <c r="O474" s="44">
        <f>VLOOKUP($B464,[12]Complaints!$A$4:$AJ$39,7,)</f>
        <v>0</v>
      </c>
      <c r="P474" s="45">
        <f>SUM(D474:O474)</f>
        <v>1</v>
      </c>
      <c r="Q474" s="46">
        <f>IF(P474=0,"",P474/$P466)</f>
        <v>4.1666666666666664E-2</v>
      </c>
      <c r="R474" s="18"/>
    </row>
    <row r="475" spans="2:18" ht="15.75" customHeight="1" x14ac:dyDescent="0.2">
      <c r="B475" s="169"/>
      <c r="C475" s="31" t="s">
        <v>89</v>
      </c>
      <c r="D475" s="47">
        <f>VLOOKUP($B464,[1]Complaints!$A$4:$AJ$39,8,)</f>
        <v>0</v>
      </c>
      <c r="E475" s="48">
        <f>VLOOKUP($B464,[2]Complaints!$A$4:$AJ$39,8,)</f>
        <v>0</v>
      </c>
      <c r="F475" s="48">
        <f>VLOOKUP($B464,[3]Complaints!$A$4:$AJ$39,8,)</f>
        <v>1</v>
      </c>
      <c r="G475" s="48">
        <f>VLOOKUP($B464,[4]Complaints!$A$4:$AJ$39,8,)</f>
        <v>3</v>
      </c>
      <c r="H475" s="48">
        <f>VLOOKUP($B464,[5]Complaints!$A$4:$AJ$39,8,)</f>
        <v>1</v>
      </c>
      <c r="I475" s="48">
        <f>VLOOKUP($B464,[6]Complaints!$A$4:$AJ$39,8,)</f>
        <v>0</v>
      </c>
      <c r="J475" s="48">
        <f>VLOOKUP($B464,[7]Complaints!$A$4:$AJ$39,8,)</f>
        <v>2</v>
      </c>
      <c r="K475" s="48">
        <f>VLOOKUP($B464,[8]Complaints!$A$4:$AJ$39,8,)</f>
        <v>1</v>
      </c>
      <c r="L475" s="48">
        <f>VLOOKUP($B464,[9]Complaints!$A$4:$AJ$39,8,)</f>
        <v>1</v>
      </c>
      <c r="M475" s="48">
        <f>VLOOKUP($B464,[10]Complaints!$A$4:$AJ$39,8,)</f>
        <v>0</v>
      </c>
      <c r="N475" s="48">
        <f>VLOOKUP($B464,[11]Complaints!$A$4:$AJ$39,8,)</f>
        <v>0</v>
      </c>
      <c r="O475" s="49">
        <f>VLOOKUP($B464,[12]Complaints!$A$4:$AJ$39,8,)</f>
        <v>0</v>
      </c>
      <c r="P475" s="55">
        <f t="shared" ref="P475:P476" si="126">SUM(D475:O475)</f>
        <v>9</v>
      </c>
      <c r="Q475" s="50">
        <f>IF(P475="","",P475/$P466)</f>
        <v>0.375</v>
      </c>
      <c r="R475" s="18"/>
    </row>
    <row r="476" spans="2:18" ht="15.75" customHeight="1" x14ac:dyDescent="0.2">
      <c r="B476" s="169"/>
      <c r="C476" s="31" t="s">
        <v>88</v>
      </c>
      <c r="D476" s="47">
        <f>VLOOKUP($B464,[1]Complaints!$A$4:$AJ$39,9,)</f>
        <v>0</v>
      </c>
      <c r="E476" s="48">
        <f>VLOOKUP($B464,[2]Complaints!$A$4:$AJ$39,9,)</f>
        <v>0</v>
      </c>
      <c r="F476" s="48">
        <f>VLOOKUP($B464,[3]Complaints!$A$4:$AJ$39,9,)</f>
        <v>0</v>
      </c>
      <c r="G476" s="48">
        <f>VLOOKUP($B464,[4]Complaints!$A$4:$AJ$39,9,)</f>
        <v>0</v>
      </c>
      <c r="H476" s="48">
        <f>VLOOKUP($B464,[5]Complaints!$A$4:$AJ$39,9,)</f>
        <v>0</v>
      </c>
      <c r="I476" s="48">
        <f>VLOOKUP($B464,[6]Complaints!$A$4:$AJ$39,9,)</f>
        <v>0</v>
      </c>
      <c r="J476" s="48">
        <f>VLOOKUP($B464,[7]Complaints!$A$4:$AJ$39,9,)</f>
        <v>0</v>
      </c>
      <c r="K476" s="48">
        <f>VLOOKUP($B464,[8]Complaints!$A$4:$AJ$39,9,)</f>
        <v>0</v>
      </c>
      <c r="L476" s="48">
        <f>VLOOKUP($B464,[9]Complaints!$A$4:$AJ$39,9,)</f>
        <v>0</v>
      </c>
      <c r="M476" s="48">
        <f>VLOOKUP($B464,[10]Complaints!$A$4:$AJ$39,9,)</f>
        <v>0</v>
      </c>
      <c r="N476" s="48">
        <f>VLOOKUP($B464,[11]Complaints!$A$4:$AJ$39,9,)</f>
        <v>0</v>
      </c>
      <c r="O476" s="49">
        <f>VLOOKUP($B464,[12]Complaints!$A$4:$AJ$39,9,)</f>
        <v>0</v>
      </c>
      <c r="P476" s="55">
        <f t="shared" si="126"/>
        <v>0</v>
      </c>
      <c r="Q476" s="50" t="str">
        <f>IF(P476=0,"",P476/$P466)</f>
        <v/>
      </c>
      <c r="R476" s="18"/>
    </row>
    <row r="477" spans="2:18" ht="15.75" customHeight="1" x14ac:dyDescent="0.2">
      <c r="B477" s="169"/>
      <c r="C477" s="31" t="s">
        <v>13</v>
      </c>
      <c r="D477" s="47">
        <f>VLOOKUP($B464,[1]Complaints!$A$4:$AJ$39,10,)</f>
        <v>0</v>
      </c>
      <c r="E477" s="48">
        <f>VLOOKUP($B464,[2]Complaints!$A$4:$AJ$39,10,)</f>
        <v>1</v>
      </c>
      <c r="F477" s="48">
        <f>VLOOKUP($B464,[3]Complaints!$A$4:$AJ$39,10,)</f>
        <v>1</v>
      </c>
      <c r="G477" s="48">
        <f>VLOOKUP($B464,[4]Complaints!$A$4:$AJ$39,10,)</f>
        <v>0</v>
      </c>
      <c r="H477" s="48">
        <f>VLOOKUP($B464,[5]Complaints!$A$4:$AJ$39,10,)</f>
        <v>0</v>
      </c>
      <c r="I477" s="48">
        <f>VLOOKUP($B464,[6]Complaints!$A$4:$AJ$39,10,)</f>
        <v>0</v>
      </c>
      <c r="J477" s="48">
        <f>VLOOKUP($B464,[7]Complaints!$A$4:$AJ$39,10,)</f>
        <v>2</v>
      </c>
      <c r="K477" s="48">
        <f>VLOOKUP($B464,[8]Complaints!$A$4:$AJ$39,10,)</f>
        <v>0</v>
      </c>
      <c r="L477" s="48">
        <f>VLOOKUP($B464,[9]Complaints!$A$4:$AJ$39,10,)</f>
        <v>0</v>
      </c>
      <c r="M477" s="48">
        <f>VLOOKUP($B464,[10]Complaints!$A$4:$AJ$39,10,)</f>
        <v>0</v>
      </c>
      <c r="N477" s="48">
        <f>VLOOKUP($B464,[11]Complaints!$A$4:$AJ$39,10,)</f>
        <v>0</v>
      </c>
      <c r="O477" s="49">
        <f>VLOOKUP($B464,[12]Complaints!$A$4:$AJ$39,10,)</f>
        <v>0</v>
      </c>
      <c r="P477" s="55">
        <f>SUM(D477:O477)</f>
        <v>4</v>
      </c>
      <c r="Q477" s="50">
        <f>IF(P477=0,"",P477/$P466)</f>
        <v>0.16666666666666666</v>
      </c>
      <c r="R477" s="18"/>
    </row>
    <row r="478" spans="2:18" ht="15.75" customHeight="1" x14ac:dyDescent="0.2">
      <c r="B478" s="169"/>
      <c r="C478" s="31" t="s">
        <v>101</v>
      </c>
      <c r="D478" s="47">
        <f>VLOOKUP($B464,[1]Complaints!$A$4:$AJ$39,11,)</f>
        <v>0</v>
      </c>
      <c r="E478" s="48">
        <f>VLOOKUP($B464,[2]Complaints!$A$4:$AJ$39,11,)</f>
        <v>0</v>
      </c>
      <c r="F478" s="48">
        <f>VLOOKUP($B464,[3]Complaints!$A$4:$AJ$39,11,)</f>
        <v>0</v>
      </c>
      <c r="G478" s="48">
        <f>VLOOKUP($B464,[4]Complaints!$A$4:$AJ$39,11,)</f>
        <v>0</v>
      </c>
      <c r="H478" s="48">
        <f>VLOOKUP($B464,[5]Complaints!$A$4:$AJ$39,11,)</f>
        <v>0</v>
      </c>
      <c r="I478" s="48">
        <f>VLOOKUP($B464,[6]Complaints!$A$4:$AJ$39,11,)</f>
        <v>0</v>
      </c>
      <c r="J478" s="48">
        <f>VLOOKUP($B464,[7]Complaints!$A$4:$AJ$39,11,)</f>
        <v>0</v>
      </c>
      <c r="K478" s="48">
        <f>VLOOKUP($B464,[8]Complaints!$A$4:$AJ$39,11,)</f>
        <v>1</v>
      </c>
      <c r="L478" s="48">
        <f>VLOOKUP($B464,[9]Complaints!$A$4:$AJ$39,11,)</f>
        <v>0</v>
      </c>
      <c r="M478" s="48">
        <f>VLOOKUP($B464,[10]Complaints!$A$4:$AJ$39,11,)</f>
        <v>0</v>
      </c>
      <c r="N478" s="48">
        <f>VLOOKUP($B464,[11]Complaints!$A$4:$AJ$39,11,)</f>
        <v>0</v>
      </c>
      <c r="O478" s="49">
        <f>VLOOKUP($B464,[12]Complaints!$A$4:$AJ$39,11,)</f>
        <v>0</v>
      </c>
      <c r="P478" s="55">
        <f t="shared" ref="P478:P487" si="127">SUM(D478:O478)</f>
        <v>1</v>
      </c>
      <c r="Q478" s="50">
        <f>IF(P478=0,"",P478/$P466)</f>
        <v>4.1666666666666664E-2</v>
      </c>
      <c r="R478" s="18"/>
    </row>
    <row r="479" spans="2:18" s="19" customFormat="1" ht="15.75" customHeight="1" x14ac:dyDescent="0.2">
      <c r="B479" s="169"/>
      <c r="C479" s="31" t="s">
        <v>93</v>
      </c>
      <c r="D479" s="47">
        <f>VLOOKUP($B464,[1]Complaints!$A$4:$AJ$39,12,)</f>
        <v>0</v>
      </c>
      <c r="E479" s="48">
        <f>VLOOKUP($B464,[2]Complaints!$A$4:$AJ$39,12,)</f>
        <v>0</v>
      </c>
      <c r="F479" s="48">
        <f>VLOOKUP($B464,[3]Complaints!$A$4:$AJ$39,12,)</f>
        <v>0</v>
      </c>
      <c r="G479" s="48">
        <f>VLOOKUP($B464,[4]Complaints!$A$4:$AJ$39,12,)</f>
        <v>0</v>
      </c>
      <c r="H479" s="48">
        <f>VLOOKUP($B464,[5]Complaints!$A$4:$AJ$39,12,)</f>
        <v>1</v>
      </c>
      <c r="I479" s="48">
        <f>VLOOKUP($B464,[6]Complaints!$A$4:$AJ$39,12,)</f>
        <v>0</v>
      </c>
      <c r="J479" s="48">
        <f>VLOOKUP($B464,[7]Complaints!$A$4:$AJ$39,12,)</f>
        <v>1</v>
      </c>
      <c r="K479" s="48">
        <f>VLOOKUP($B464,[8]Complaints!$A$4:$AJ$39,12,)</f>
        <v>0</v>
      </c>
      <c r="L479" s="48">
        <f>VLOOKUP($B464,[9]Complaints!$A$4:$AJ$39,12,)</f>
        <v>0</v>
      </c>
      <c r="M479" s="48">
        <f>VLOOKUP($B464,[10]Complaints!$A$4:$AJ$39,12,)</f>
        <v>1</v>
      </c>
      <c r="N479" s="48">
        <f>VLOOKUP($B464,[11]Complaints!$A$4:$AJ$39,12,)</f>
        <v>0</v>
      </c>
      <c r="O479" s="49">
        <f>VLOOKUP($B464,[12]Complaints!$A$4:$AJ$39,12,)</f>
        <v>0</v>
      </c>
      <c r="P479" s="55">
        <f t="shared" si="127"/>
        <v>3</v>
      </c>
      <c r="Q479" s="50">
        <f>IF(P479=0,"",P479/$P466)</f>
        <v>0.125</v>
      </c>
    </row>
    <row r="480" spans="2:18" ht="15.75" customHeight="1" x14ac:dyDescent="0.2">
      <c r="B480" s="169"/>
      <c r="C480" s="31" t="s">
        <v>78</v>
      </c>
      <c r="D480" s="47">
        <f>VLOOKUP($B464,[1]Complaints!$A$4:$AJ$39,13,)</f>
        <v>0</v>
      </c>
      <c r="E480" s="48">
        <f>VLOOKUP($B464,[2]Complaints!$A$4:$AJ$39,13,)</f>
        <v>0</v>
      </c>
      <c r="F480" s="48">
        <f>VLOOKUP($B464,[3]Complaints!$A$4:$AJ$39,13,)</f>
        <v>0</v>
      </c>
      <c r="G480" s="48">
        <f>VLOOKUP($B464,[4]Complaints!$A$4:$AJ$39,13,)</f>
        <v>0</v>
      </c>
      <c r="H480" s="48">
        <f>VLOOKUP($B464,[5]Complaints!$A$4:$AJ$39,13,)</f>
        <v>0</v>
      </c>
      <c r="I480" s="48">
        <f>VLOOKUP($B464,[6]Complaints!$A$4:$AJ$39,13,)</f>
        <v>0</v>
      </c>
      <c r="J480" s="48">
        <f>VLOOKUP($B464,[7]Complaints!$A$4:$AJ$39,13,)</f>
        <v>0</v>
      </c>
      <c r="K480" s="48">
        <f>VLOOKUP($B464,[8]Complaints!$A$4:$AJ$39,13,)</f>
        <v>0</v>
      </c>
      <c r="L480" s="48">
        <f>VLOOKUP($B464,[9]Complaints!$A$4:$AJ$39,13,)</f>
        <v>0</v>
      </c>
      <c r="M480" s="48">
        <f>VLOOKUP($B464,[10]Complaints!$A$4:$AJ$39,13,)</f>
        <v>0</v>
      </c>
      <c r="N480" s="48">
        <f>VLOOKUP($B464,[11]Complaints!$A$4:$AJ$39,13,)</f>
        <v>0</v>
      </c>
      <c r="O480" s="49">
        <f>VLOOKUP($B464,[12]Complaints!$A$4:$AJ$39,13,)</f>
        <v>0</v>
      </c>
      <c r="P480" s="55">
        <f t="shared" si="127"/>
        <v>0</v>
      </c>
      <c r="Q480" s="50" t="str">
        <f>IF(P480=0,"",P480/$P466)</f>
        <v/>
      </c>
      <c r="R480" s="18"/>
    </row>
    <row r="481" spans="1:19" ht="15.75" customHeight="1" x14ac:dyDescent="0.2">
      <c r="B481" s="169"/>
      <c r="C481" s="31" t="s">
        <v>92</v>
      </c>
      <c r="D481" s="47">
        <f>VLOOKUP($B464,[1]Complaints!$A$4:$AJ$39,14,)</f>
        <v>0</v>
      </c>
      <c r="E481" s="48">
        <f>VLOOKUP($B464,[2]Complaints!$A$4:$AJ$39,14,)</f>
        <v>0</v>
      </c>
      <c r="F481" s="48">
        <f>VLOOKUP($B464,[3]Complaints!$A$4:$AJ$39,14,)</f>
        <v>0</v>
      </c>
      <c r="G481" s="48">
        <f>VLOOKUP($B464,[4]Complaints!$A$4:$AJ$39,14,)</f>
        <v>0</v>
      </c>
      <c r="H481" s="48">
        <f>VLOOKUP($B464,[5]Complaints!$A$4:$AJ$39,14,)</f>
        <v>0</v>
      </c>
      <c r="I481" s="48">
        <f>VLOOKUP($B464,[6]Complaints!$A$4:$AJ$39,14,)</f>
        <v>0</v>
      </c>
      <c r="J481" s="48">
        <f>VLOOKUP($B464,[7]Complaints!$A$4:$AJ$39,14,)</f>
        <v>0</v>
      </c>
      <c r="K481" s="48">
        <f>VLOOKUP($B464,[8]Complaints!$A$4:$AJ$39,14,)</f>
        <v>0</v>
      </c>
      <c r="L481" s="48">
        <f>VLOOKUP($B464,[9]Complaints!$A$4:$AJ$39,14,)</f>
        <v>0</v>
      </c>
      <c r="M481" s="48">
        <f>VLOOKUP($B464,[10]Complaints!$A$4:$AJ$39,14,)</f>
        <v>0</v>
      </c>
      <c r="N481" s="48">
        <f>VLOOKUP($B464,[11]Complaints!$A$4:$AJ$39,14,)</f>
        <v>0</v>
      </c>
      <c r="O481" s="49">
        <f>VLOOKUP($B464,[12]Complaints!$A$4:$AJ$39,14,)</f>
        <v>0</v>
      </c>
      <c r="P481" s="55">
        <f t="shared" si="127"/>
        <v>0</v>
      </c>
      <c r="Q481" s="50" t="str">
        <f>IF(P481=0,"",P481/$P466)</f>
        <v/>
      </c>
      <c r="R481" s="18"/>
    </row>
    <row r="482" spans="1:19" ht="15.75" customHeight="1" x14ac:dyDescent="0.2">
      <c r="B482" s="169"/>
      <c r="C482" s="31" t="s">
        <v>91</v>
      </c>
      <c r="D482" s="47">
        <f>VLOOKUP($B464,[1]Complaints!$A$4:$AJ$39,15,)</f>
        <v>0</v>
      </c>
      <c r="E482" s="48">
        <f>VLOOKUP($B464,[2]Complaints!$A$4:$AJ$39,15,)</f>
        <v>0</v>
      </c>
      <c r="F482" s="48">
        <f>VLOOKUP($B464,[3]Complaints!$A$4:$AJ$39,15,)</f>
        <v>0</v>
      </c>
      <c r="G482" s="48">
        <f>VLOOKUP($B464,[4]Complaints!$A$4:$AJ$39,15,)</f>
        <v>0</v>
      </c>
      <c r="H482" s="48">
        <f>VLOOKUP($B464,[5]Complaints!$A$4:$AJ$39,15,)</f>
        <v>1</v>
      </c>
      <c r="I482" s="48">
        <f>VLOOKUP($B464,[6]Complaints!$A$4:$AJ$39,15,)</f>
        <v>1</v>
      </c>
      <c r="J482" s="48">
        <f>VLOOKUP($B464,[7]Complaints!$A$4:$AJ$39,15,)</f>
        <v>0</v>
      </c>
      <c r="K482" s="48">
        <f>VLOOKUP($B464,[8]Complaints!$A$4:$AJ$39,15,)</f>
        <v>0</v>
      </c>
      <c r="L482" s="48">
        <f>VLOOKUP($B464,[9]Complaints!$A$4:$AJ$39,15,)</f>
        <v>0</v>
      </c>
      <c r="M482" s="48">
        <f>VLOOKUP($B464,[10]Complaints!$A$4:$AJ$39,15,)</f>
        <v>1</v>
      </c>
      <c r="N482" s="48">
        <f>VLOOKUP($B464,[11]Complaints!$A$4:$AJ$39,15,)</f>
        <v>0</v>
      </c>
      <c r="O482" s="49">
        <f>VLOOKUP($B464,[12]Complaints!$A$4:$AJ$39,15,)</f>
        <v>0</v>
      </c>
      <c r="P482" s="55">
        <f t="shared" si="127"/>
        <v>3</v>
      </c>
      <c r="Q482" s="50">
        <f>IF(P482=0,"",P482/$P466)</f>
        <v>0.125</v>
      </c>
      <c r="R482" s="18"/>
    </row>
    <row r="483" spans="1:19" ht="15.75" customHeight="1" x14ac:dyDescent="0.2">
      <c r="B483" s="169"/>
      <c r="C483" s="31" t="s">
        <v>79</v>
      </c>
      <c r="D483" s="47">
        <f>VLOOKUP($B464,[1]Complaints!$A$4:$AJ$39,16,)</f>
        <v>0</v>
      </c>
      <c r="E483" s="48">
        <f>VLOOKUP($B464,[2]Complaints!$A$4:$AJ$39,16,)</f>
        <v>0</v>
      </c>
      <c r="F483" s="48">
        <f>VLOOKUP($B464,[3]Complaints!$A$4:$AJ$39,16,)</f>
        <v>0</v>
      </c>
      <c r="G483" s="48">
        <f>VLOOKUP($B464,[4]Complaints!$A$4:$AJ$39,16,)</f>
        <v>0</v>
      </c>
      <c r="H483" s="48">
        <f>VLOOKUP($B464,[5]Complaints!$A$4:$AJ$39,16,)</f>
        <v>0</v>
      </c>
      <c r="I483" s="48">
        <f>VLOOKUP($B464,[6]Complaints!$A$4:$AJ$39,16,)</f>
        <v>0</v>
      </c>
      <c r="J483" s="48">
        <f>VLOOKUP($B464,[7]Complaints!$A$4:$AJ$39,16,)</f>
        <v>0</v>
      </c>
      <c r="K483" s="48">
        <f>VLOOKUP($B464,[8]Complaints!$A$4:$AJ$39,16,)</f>
        <v>0</v>
      </c>
      <c r="L483" s="48">
        <f>VLOOKUP($B464,[9]Complaints!$A$4:$AJ$39,16,)</f>
        <v>0</v>
      </c>
      <c r="M483" s="48">
        <f>VLOOKUP($B464,[10]Complaints!$A$4:$AJ$39,16,)</f>
        <v>0</v>
      </c>
      <c r="N483" s="48">
        <f>VLOOKUP($B464,[11]Complaints!$A$4:$AJ$39,16,)</f>
        <v>0</v>
      </c>
      <c r="O483" s="49">
        <f>VLOOKUP($B464,[12]Complaints!$A$4:$AJ$39,16,)</f>
        <v>0</v>
      </c>
      <c r="P483" s="55">
        <f t="shared" si="127"/>
        <v>0</v>
      </c>
      <c r="Q483" s="50" t="str">
        <f>IF(P483=0,"",P483/$P466)</f>
        <v/>
      </c>
      <c r="R483" s="18"/>
    </row>
    <row r="484" spans="1:19" ht="15.75" customHeight="1" x14ac:dyDescent="0.2">
      <c r="B484" s="169"/>
      <c r="C484" s="31" t="s">
        <v>80</v>
      </c>
      <c r="D484" s="47">
        <f>VLOOKUP($B464,[1]Complaints!$A$4:$AJ$39,17,)</f>
        <v>0</v>
      </c>
      <c r="E484" s="48">
        <f>VLOOKUP($B464,[2]Complaints!$A$4:$AJ$39,17,)</f>
        <v>0</v>
      </c>
      <c r="F484" s="48">
        <f>VLOOKUP($B464,[3]Complaints!$A$4:$AJ$39,17,)</f>
        <v>0</v>
      </c>
      <c r="G484" s="48">
        <f>VLOOKUP($B464,[4]Complaints!$A$4:$AJ$39,17,)</f>
        <v>0</v>
      </c>
      <c r="H484" s="48">
        <f>VLOOKUP($B464,[5]Complaints!$A$4:$AJ$39,17,)</f>
        <v>0</v>
      </c>
      <c r="I484" s="48">
        <f>VLOOKUP($B464,[6]Complaints!$A$4:$AJ$39,17,)</f>
        <v>0</v>
      </c>
      <c r="J484" s="48">
        <f>VLOOKUP($B464,[7]Complaints!$A$4:$AJ$39,17,)</f>
        <v>0</v>
      </c>
      <c r="K484" s="48">
        <f>VLOOKUP($B464,[8]Complaints!$A$4:$AJ$39,17,)</f>
        <v>0</v>
      </c>
      <c r="L484" s="48">
        <f>VLOOKUP($B464,[9]Complaints!$A$4:$AJ$39,17,)</f>
        <v>0</v>
      </c>
      <c r="M484" s="48">
        <f>VLOOKUP($B464,[10]Complaints!$A$4:$AJ$39,17,)</f>
        <v>0</v>
      </c>
      <c r="N484" s="48">
        <f>VLOOKUP($B464,[11]Complaints!$A$4:$AJ$39,17,)</f>
        <v>0</v>
      </c>
      <c r="O484" s="49">
        <f>VLOOKUP($B464,[12]Complaints!$A$4:$AJ$39,17,)</f>
        <v>0</v>
      </c>
      <c r="P484" s="55">
        <f t="shared" si="127"/>
        <v>0</v>
      </c>
      <c r="Q484" s="50" t="str">
        <f>IF(P484=0,"",P484/$P466)</f>
        <v/>
      </c>
      <c r="R484" s="18"/>
    </row>
    <row r="485" spans="1:19" ht="15.75" customHeight="1" x14ac:dyDescent="0.2">
      <c r="B485" s="169"/>
      <c r="C485" s="31" t="s">
        <v>81</v>
      </c>
      <c r="D485" s="47">
        <f>VLOOKUP($B464,[1]Complaints!$A$4:$AJ$39,18,)</f>
        <v>0</v>
      </c>
      <c r="E485" s="48">
        <f>VLOOKUP($B464,[2]Complaints!$A$4:$AJ$39,18,)</f>
        <v>0</v>
      </c>
      <c r="F485" s="48">
        <f>VLOOKUP($B464,[3]Complaints!$A$4:$AJ$39,18,)</f>
        <v>0</v>
      </c>
      <c r="G485" s="48">
        <f>VLOOKUP($B464,[4]Complaints!$A$4:$AJ$39,18,)</f>
        <v>0</v>
      </c>
      <c r="H485" s="48">
        <f>VLOOKUP($B464,[5]Complaints!$A$4:$AJ$39,18,)</f>
        <v>0</v>
      </c>
      <c r="I485" s="48">
        <f>VLOOKUP($B464,[6]Complaints!$A$4:$AJ$39,18,)</f>
        <v>0</v>
      </c>
      <c r="J485" s="48">
        <f>VLOOKUP($B464,[7]Complaints!$A$4:$AJ$39,18,)</f>
        <v>0</v>
      </c>
      <c r="K485" s="48">
        <f>VLOOKUP($B464,[8]Complaints!$A$4:$AJ$39,18,)</f>
        <v>0</v>
      </c>
      <c r="L485" s="48">
        <f>VLOOKUP($B464,[9]Complaints!$A$4:$AJ$39,18,)</f>
        <v>0</v>
      </c>
      <c r="M485" s="48">
        <f>VLOOKUP($B464,[10]Complaints!$A$4:$AJ$39,18,)</f>
        <v>0</v>
      </c>
      <c r="N485" s="48">
        <f>VLOOKUP($B464,[11]Complaints!$A$4:$AJ$39,18,)</f>
        <v>0</v>
      </c>
      <c r="O485" s="49">
        <f>VLOOKUP($B464,[12]Complaints!$A$4:$AJ$39,18,)</f>
        <v>0</v>
      </c>
      <c r="P485" s="55">
        <f t="shared" si="127"/>
        <v>0</v>
      </c>
      <c r="Q485" s="50" t="str">
        <f>IF(P485=0,"",P485/$P466)</f>
        <v/>
      </c>
      <c r="R485" s="18"/>
    </row>
    <row r="486" spans="1:19" ht="15.75" customHeight="1" x14ac:dyDescent="0.2">
      <c r="B486" s="169"/>
      <c r="C486" s="31" t="s">
        <v>82</v>
      </c>
      <c r="D486" s="47">
        <f>VLOOKUP($B464,[1]Complaints!$A$4:$AJ$39,19,)</f>
        <v>0</v>
      </c>
      <c r="E486" s="48">
        <f>VLOOKUP($B464,[2]Complaints!$A$4:$AJ$39,19,)</f>
        <v>0</v>
      </c>
      <c r="F486" s="48">
        <f>VLOOKUP($B464,[3]Complaints!$A$4:$AJ$39,19,)</f>
        <v>0</v>
      </c>
      <c r="G486" s="48">
        <f>VLOOKUP($B464,[4]Complaints!$A$4:$AJ$39,19,)</f>
        <v>0</v>
      </c>
      <c r="H486" s="48">
        <f>VLOOKUP($B464,[5]Complaints!$A$4:$AJ$39,19,)</f>
        <v>0</v>
      </c>
      <c r="I486" s="48">
        <f>VLOOKUP($B464,[6]Complaints!$A$4:$AJ$39,19,)</f>
        <v>0</v>
      </c>
      <c r="J486" s="48">
        <f>VLOOKUP($B464,[7]Complaints!$A$4:$AJ$39,19,)</f>
        <v>0</v>
      </c>
      <c r="K486" s="48">
        <f>VLOOKUP($B464,[8]Complaints!$A$4:$AJ$39,19,)</f>
        <v>0</v>
      </c>
      <c r="L486" s="48">
        <f>VLOOKUP($B464,[9]Complaints!$A$4:$AJ$39,19,)</f>
        <v>0</v>
      </c>
      <c r="M486" s="48">
        <f>VLOOKUP($B464,[10]Complaints!$A$4:$AJ$39,19,)</f>
        <v>0</v>
      </c>
      <c r="N486" s="48">
        <f>VLOOKUP($B464,[11]Complaints!$A$4:$AJ$39,19,)</f>
        <v>0</v>
      </c>
      <c r="O486" s="49">
        <f>VLOOKUP($B464,[12]Complaints!$A$4:$AJ$39,19,)</f>
        <v>0</v>
      </c>
      <c r="P486" s="55">
        <f t="shared" si="127"/>
        <v>0</v>
      </c>
      <c r="Q486" s="50" t="str">
        <f>IF(P486=0,"",P486/$P466)</f>
        <v/>
      </c>
      <c r="R486" s="18"/>
    </row>
    <row r="487" spans="1:19" ht="15.75" customHeight="1" thickBot="1" x14ac:dyDescent="0.25">
      <c r="B487" s="170"/>
      <c r="C487" s="31" t="s">
        <v>83</v>
      </c>
      <c r="D487" s="47">
        <f>VLOOKUP($B464,[1]Complaints!$A$4:$AJ$39,20,)</f>
        <v>0</v>
      </c>
      <c r="E487" s="48">
        <f>VLOOKUP($B464,[2]Complaints!$A$4:$AJ$39,20,)</f>
        <v>0</v>
      </c>
      <c r="F487" s="48">
        <f>VLOOKUP($B464,[3]Complaints!$A$4:$AJ$39,20,)</f>
        <v>0</v>
      </c>
      <c r="G487" s="48">
        <f>VLOOKUP($B464,[4]Complaints!$A$4:$AJ$39,20,)</f>
        <v>0</v>
      </c>
      <c r="H487" s="48">
        <f>VLOOKUP($B464,[5]Complaints!$A$4:$AJ$39,20,)</f>
        <v>0</v>
      </c>
      <c r="I487" s="48">
        <f>VLOOKUP($B464,[6]Complaints!$A$4:$AJ$39,20,)</f>
        <v>0</v>
      </c>
      <c r="J487" s="48">
        <f>VLOOKUP($B464,[7]Complaints!$A$4:$AJ$39,20,)</f>
        <v>0</v>
      </c>
      <c r="K487" s="48">
        <f>VLOOKUP($B464,[8]Complaints!$A$4:$AJ$39,20,)</f>
        <v>0</v>
      </c>
      <c r="L487" s="48">
        <f>VLOOKUP($B464,[9]Complaints!$A$4:$AJ$39,20,)</f>
        <v>0</v>
      </c>
      <c r="M487" s="48">
        <f>VLOOKUP($B464,[10]Complaints!$A$4:$AJ$39,20,)</f>
        <v>0</v>
      </c>
      <c r="N487" s="48">
        <f>VLOOKUP($B464,[11]Complaints!$A$4:$AJ$39,20,)</f>
        <v>0</v>
      </c>
      <c r="O487" s="49">
        <f>VLOOKUP($B464,[12]Complaints!$A$4:$AJ$39,20,)</f>
        <v>0</v>
      </c>
      <c r="P487" s="55">
        <f t="shared" si="127"/>
        <v>0</v>
      </c>
      <c r="Q487" s="50" t="str">
        <f>IF(P487=0,"",P487/$P466)</f>
        <v/>
      </c>
      <c r="R487" s="18"/>
    </row>
    <row r="488" spans="1:19" ht="15.75" customHeight="1" x14ac:dyDescent="0.2">
      <c r="B488" s="144" t="s">
        <v>90</v>
      </c>
      <c r="C488" s="37" t="s">
        <v>118</v>
      </c>
      <c r="D488" s="62">
        <f>VLOOKUP($B464,[1]Complaints!$A$4:$AJ$39,21,)</f>
        <v>0</v>
      </c>
      <c r="E488" s="63">
        <f>VLOOKUP($B464,[2]Complaints!$A$4:$AJ$39,21,)</f>
        <v>0</v>
      </c>
      <c r="F488" s="63">
        <f>VLOOKUP($B464,[3]Complaints!$A$4:$AJ$39,21,)</f>
        <v>0</v>
      </c>
      <c r="G488" s="63">
        <f>VLOOKUP($B464,[4]Complaints!$A$4:$AJ$39,21,)</f>
        <v>1</v>
      </c>
      <c r="H488" s="63">
        <f>VLOOKUP($B464,[5]Complaints!$A$4:$AJ$39,21,)</f>
        <v>0</v>
      </c>
      <c r="I488" s="63">
        <f>VLOOKUP($B464,[6]Complaints!$A$4:$AJ$39,21,)</f>
        <v>0</v>
      </c>
      <c r="J488" s="63">
        <f>VLOOKUP($B464,[7]Complaints!$A$4:$AJ$39,21,)</f>
        <v>1</v>
      </c>
      <c r="K488" s="63">
        <f>VLOOKUP($B464,[8]Complaints!$A$4:$AJ$39,21,)</f>
        <v>1</v>
      </c>
      <c r="L488" s="63">
        <f>VLOOKUP($B464,[9]Complaints!$A$4:$AJ$39,21,)</f>
        <v>0</v>
      </c>
      <c r="M488" s="63">
        <f>VLOOKUP($B464,[10]Complaints!$A$4:$AJ$39,21,)</f>
        <v>1</v>
      </c>
      <c r="N488" s="63">
        <f>VLOOKUP($B464,[11]Complaints!$A$4:$AJ$39,21,)</f>
        <v>0</v>
      </c>
      <c r="O488" s="64">
        <f>VLOOKUP($B464,[12]Complaints!$A$4:$AJ$39,21,)</f>
        <v>0</v>
      </c>
      <c r="P488" s="65">
        <f>SUM(D488:O488)</f>
        <v>4</v>
      </c>
      <c r="Q488" s="46">
        <f>IF(P488=0,"",P488/$P472)</f>
        <v>0.5</v>
      </c>
      <c r="R488" s="18"/>
    </row>
    <row r="489" spans="1:19" ht="15.75" customHeight="1" x14ac:dyDescent="0.2">
      <c r="B489" s="145"/>
      <c r="C489" s="38" t="s">
        <v>77</v>
      </c>
      <c r="D489" s="66">
        <f>VLOOKUP($B464,[1]Complaints!$A$4:$AJ$39,22,)</f>
        <v>0</v>
      </c>
      <c r="E489" s="67">
        <f>VLOOKUP($B464,[2]Complaints!$A$4:$AJ$39,22,)</f>
        <v>0</v>
      </c>
      <c r="F489" s="67">
        <f>VLOOKUP($B464,[3]Complaints!$A$4:$AJ$39,22,)</f>
        <v>0</v>
      </c>
      <c r="G489" s="67">
        <f>VLOOKUP($B464,[4]Complaints!$A$4:$AJ$39,22,)</f>
        <v>1</v>
      </c>
      <c r="H489" s="67">
        <f>VLOOKUP($B464,[5]Complaints!$A$4:$AJ$39,22,)</f>
        <v>0</v>
      </c>
      <c r="I489" s="67">
        <f>VLOOKUP($B464,[6]Complaints!$A$4:$AJ$39,22,)</f>
        <v>0</v>
      </c>
      <c r="J489" s="67">
        <f>VLOOKUP($B464,[7]Complaints!$A$4:$AJ$39,22,)</f>
        <v>0</v>
      </c>
      <c r="K489" s="67">
        <f>VLOOKUP($B464,[8]Complaints!$A$4:$AJ$39,22,)</f>
        <v>0</v>
      </c>
      <c r="L489" s="67">
        <f>VLOOKUP($B464,[9]Complaints!$A$4:$AJ$39,22,)</f>
        <v>0</v>
      </c>
      <c r="M489" s="67">
        <f>VLOOKUP($B464,[10]Complaints!$A$4:$AJ$39,22,)</f>
        <v>0</v>
      </c>
      <c r="N489" s="67">
        <f>VLOOKUP($B464,[11]Complaints!$A$4:$AJ$39,22,)</f>
        <v>0</v>
      </c>
      <c r="O489" s="68">
        <f>VLOOKUP($B464,[12]Complaints!$A$4:$AJ$39,22,)</f>
        <v>0</v>
      </c>
      <c r="P489" s="69">
        <f t="shared" ref="P489:P503" si="128">SUM(D489:O489)</f>
        <v>1</v>
      </c>
      <c r="Q489" s="70">
        <f>IF(P489=0,"",P489/$P472)</f>
        <v>0.125</v>
      </c>
      <c r="R489" s="18"/>
    </row>
    <row r="490" spans="1:19" ht="15.75" customHeight="1" x14ac:dyDescent="0.2">
      <c r="B490" s="145"/>
      <c r="C490" s="38" t="s">
        <v>108</v>
      </c>
      <c r="D490" s="66">
        <f>VLOOKUP($B464,[1]Complaints!$A$4:$AJ$39,23,)</f>
        <v>0</v>
      </c>
      <c r="E490" s="67">
        <f>VLOOKUP($B464,[2]Complaints!$A$4:$AJ$39,23,)</f>
        <v>0</v>
      </c>
      <c r="F490" s="67">
        <f>VLOOKUP($B464,[3]Complaints!$A$4:$AJ$39,23,)</f>
        <v>0</v>
      </c>
      <c r="G490" s="67">
        <f>VLOOKUP($B464,[4]Complaints!$A$4:$AJ$39,23,)</f>
        <v>0</v>
      </c>
      <c r="H490" s="67">
        <f>VLOOKUP($B464,[5]Complaints!$A$4:$AJ$39,23,)</f>
        <v>0</v>
      </c>
      <c r="I490" s="67">
        <f>VLOOKUP($B464,[6]Complaints!$A$4:$AJ$39,23,)</f>
        <v>0</v>
      </c>
      <c r="J490" s="67">
        <f>VLOOKUP($B464,[7]Complaints!$A$4:$AJ$39,23,)</f>
        <v>1</v>
      </c>
      <c r="K490" s="67">
        <f>VLOOKUP($B464,[8]Complaints!$A$4:$AJ$39,23,)</f>
        <v>1</v>
      </c>
      <c r="L490" s="67">
        <f>VLOOKUP($B464,[9]Complaints!$A$4:$AJ$39,23,)</f>
        <v>0</v>
      </c>
      <c r="M490" s="67">
        <f>VLOOKUP($B464,[10]Complaints!$A$4:$AJ$39,23,)</f>
        <v>0</v>
      </c>
      <c r="N490" s="67">
        <f>VLOOKUP($B464,[11]Complaints!$A$4:$AJ$39,23,)</f>
        <v>0</v>
      </c>
      <c r="O490" s="68">
        <f>VLOOKUP($B464,[12]Complaints!$A$4:$AJ$39,23,)</f>
        <v>0</v>
      </c>
      <c r="P490" s="69">
        <f t="shared" si="128"/>
        <v>2</v>
      </c>
      <c r="Q490" s="70">
        <f>IF(P490=0,"",P490/$P472)</f>
        <v>0.25</v>
      </c>
      <c r="R490" s="18"/>
    </row>
    <row r="491" spans="1:19" ht="15.75" customHeight="1" x14ac:dyDescent="0.2">
      <c r="B491" s="145"/>
      <c r="C491" s="38" t="s">
        <v>88</v>
      </c>
      <c r="D491" s="66">
        <f>VLOOKUP($B464,[1]Complaints!$A$4:$AJ$39,24,)</f>
        <v>0</v>
      </c>
      <c r="E491" s="67">
        <f>VLOOKUP($B464,[2]Complaints!$A$4:$AJ$39,24,)</f>
        <v>0</v>
      </c>
      <c r="F491" s="67">
        <f>VLOOKUP($B464,[3]Complaints!$A$4:$AJ$39,24,)</f>
        <v>0</v>
      </c>
      <c r="G491" s="67">
        <f>VLOOKUP($B464,[4]Complaints!$A$4:$AJ$39,24,)</f>
        <v>0</v>
      </c>
      <c r="H491" s="67">
        <f>VLOOKUP($B464,[5]Complaints!$A$4:$AJ$39,24,)</f>
        <v>0</v>
      </c>
      <c r="I491" s="67">
        <f>VLOOKUP($B464,[6]Complaints!$A$4:$AJ$39,24,)</f>
        <v>0</v>
      </c>
      <c r="J491" s="67">
        <f>VLOOKUP($B464,[7]Complaints!$A$4:$AJ$39,24,)</f>
        <v>0</v>
      </c>
      <c r="K491" s="67">
        <f>VLOOKUP($B464,[8]Complaints!$A$4:$AJ$39,24,)</f>
        <v>0</v>
      </c>
      <c r="L491" s="67">
        <f>VLOOKUP($B464,[9]Complaints!$A$4:$AJ$39,24,)</f>
        <v>0</v>
      </c>
      <c r="M491" s="67">
        <f>VLOOKUP($B464,[10]Complaints!$A$4:$AJ$39,24,)</f>
        <v>0</v>
      </c>
      <c r="N491" s="67">
        <f>VLOOKUP($B464,[11]Complaints!$A$4:$AJ$39,24,)</f>
        <v>0</v>
      </c>
      <c r="O491" s="68">
        <f>VLOOKUP($B464,[12]Complaints!$A$4:$AJ$39,24,)</f>
        <v>0</v>
      </c>
      <c r="P491" s="69">
        <f t="shared" si="128"/>
        <v>0</v>
      </c>
      <c r="Q491" s="70" t="str">
        <f>IF(P491=0,"",P491/$P472)</f>
        <v/>
      </c>
      <c r="R491" s="18"/>
    </row>
    <row r="492" spans="1:19" ht="15.75" customHeight="1" x14ac:dyDescent="0.2">
      <c r="B492" s="145"/>
      <c r="C492" s="38" t="s">
        <v>109</v>
      </c>
      <c r="D492" s="66">
        <f>VLOOKUP($B464,[1]Complaints!$A$4:$AJ$39,25,)</f>
        <v>0</v>
      </c>
      <c r="E492" s="67">
        <f>VLOOKUP($B464,[2]Complaints!$A$4:$AJ$39,25,)</f>
        <v>0</v>
      </c>
      <c r="F492" s="67">
        <f>VLOOKUP($B464,[3]Complaints!$A$4:$AJ$39,25,)</f>
        <v>0</v>
      </c>
      <c r="G492" s="67">
        <f>VLOOKUP($B464,[4]Complaints!$A$4:$AJ$39,25,)</f>
        <v>0</v>
      </c>
      <c r="H492" s="67">
        <f>VLOOKUP($B464,[5]Complaints!$A$4:$AJ$39,25,)</f>
        <v>0</v>
      </c>
      <c r="I492" s="67">
        <f>VLOOKUP($B464,[6]Complaints!$A$4:$AJ$39,25,)</f>
        <v>0</v>
      </c>
      <c r="J492" s="67">
        <f>VLOOKUP($B464,[7]Complaints!$A$4:$AJ$39,25,)</f>
        <v>0</v>
      </c>
      <c r="K492" s="67">
        <f>VLOOKUP($B464,[8]Complaints!$A$4:$AJ$39,25,)</f>
        <v>0</v>
      </c>
      <c r="L492" s="67">
        <f>VLOOKUP($B464,[9]Complaints!$A$4:$AJ$39,25,)</f>
        <v>0</v>
      </c>
      <c r="M492" s="67">
        <f>VLOOKUP($B464,[10]Complaints!$A$4:$AJ$39,25,)</f>
        <v>0</v>
      </c>
      <c r="N492" s="67">
        <f>VLOOKUP($B464,[11]Complaints!$A$4:$AJ$39,25,)</f>
        <v>0</v>
      </c>
      <c r="O492" s="68">
        <f>VLOOKUP($B464,[12]Complaints!$A$4:$AJ$39,25,)</f>
        <v>0</v>
      </c>
      <c r="P492" s="69">
        <f t="shared" si="128"/>
        <v>0</v>
      </c>
      <c r="Q492" s="70" t="str">
        <f>IF(P492=0,"",P492/$P472)</f>
        <v/>
      </c>
      <c r="R492" s="18"/>
    </row>
    <row r="493" spans="1:19" ht="15.75" customHeight="1" x14ac:dyDescent="0.2">
      <c r="A493" s="21"/>
      <c r="B493" s="145"/>
      <c r="C493" s="38" t="s">
        <v>110</v>
      </c>
      <c r="D493" s="66">
        <f>VLOOKUP($B464,[1]Complaints!$A$4:$AJ$39,26,)</f>
        <v>0</v>
      </c>
      <c r="E493" s="67">
        <f>VLOOKUP($B464,[2]Complaints!$A$4:$AJ$39,26,)</f>
        <v>0</v>
      </c>
      <c r="F493" s="67">
        <f>VLOOKUP($B464,[3]Complaints!$A$4:$AJ$39,26,)</f>
        <v>0</v>
      </c>
      <c r="G493" s="67">
        <f>VLOOKUP($B464,[4]Complaints!$A$4:$AJ$39,26,)</f>
        <v>0</v>
      </c>
      <c r="H493" s="67">
        <f>VLOOKUP($B464,[5]Complaints!$A$4:$AJ$39,26,)</f>
        <v>0</v>
      </c>
      <c r="I493" s="67">
        <f>VLOOKUP($B464,[6]Complaints!$A$4:$AJ$39,26,)</f>
        <v>0</v>
      </c>
      <c r="J493" s="67">
        <f>VLOOKUP($B464,[7]Complaints!$A$4:$AJ$39,26,)</f>
        <v>0</v>
      </c>
      <c r="K493" s="67">
        <f>VLOOKUP($B464,[8]Complaints!$A$4:$AJ$39,26,)</f>
        <v>0</v>
      </c>
      <c r="L493" s="67">
        <f>VLOOKUP($B464,[9]Complaints!$A$4:$AJ$39,26,)</f>
        <v>0</v>
      </c>
      <c r="M493" s="67">
        <f>VLOOKUP($B464,[10]Complaints!$A$4:$AJ$39,26,)</f>
        <v>0</v>
      </c>
      <c r="N493" s="67">
        <f>VLOOKUP($B464,[11]Complaints!$A$4:$AJ$39,26,)</f>
        <v>0</v>
      </c>
      <c r="O493" s="68">
        <f>VLOOKUP($B464,[12]Complaints!$A$4:$AJ$39,26,)</f>
        <v>0</v>
      </c>
      <c r="P493" s="69">
        <f t="shared" si="128"/>
        <v>0</v>
      </c>
      <c r="Q493" s="70" t="str">
        <f>IF(P493=0,"",P493/$P472)</f>
        <v/>
      </c>
      <c r="R493" s="18"/>
    </row>
    <row r="494" spans="1:19" s="21" customFormat="1" ht="15.75" customHeight="1" x14ac:dyDescent="0.2">
      <c r="B494" s="145"/>
      <c r="C494" s="39" t="s">
        <v>107</v>
      </c>
      <c r="D494" s="71">
        <f>VLOOKUP($B464,[1]Complaints!$A$4:$AJ$39,27,)</f>
        <v>0</v>
      </c>
      <c r="E494" s="72">
        <f>VLOOKUP($B464,[2]Complaints!$A$4:$AJ$39,27,)</f>
        <v>0</v>
      </c>
      <c r="F494" s="72">
        <f>VLOOKUP($B464,[3]Complaints!$A$4:$AJ$39,27,)</f>
        <v>0</v>
      </c>
      <c r="G494" s="72">
        <f>VLOOKUP($B464,[4]Complaints!$A$4:$AJ$39,27,)</f>
        <v>0</v>
      </c>
      <c r="H494" s="72">
        <f>VLOOKUP($B464,[5]Complaints!$A$4:$AJ$39,27,)</f>
        <v>0</v>
      </c>
      <c r="I494" s="72">
        <f>VLOOKUP($B464,[6]Complaints!$A$4:$AJ$39,27,)</f>
        <v>0</v>
      </c>
      <c r="J494" s="72">
        <f>VLOOKUP($B464,[7]Complaints!$A$4:$AJ$39,27,)</f>
        <v>0</v>
      </c>
      <c r="K494" s="72">
        <f>VLOOKUP($B464,[8]Complaints!$A$4:$AJ$39,27,)</f>
        <v>0</v>
      </c>
      <c r="L494" s="72">
        <f>VLOOKUP($B464,[9]Complaints!$A$4:$AJ$39,27,)</f>
        <v>0</v>
      </c>
      <c r="M494" s="72">
        <f>VLOOKUP($B464,[10]Complaints!$A$4:$AJ$39,27,)</f>
        <v>0</v>
      </c>
      <c r="N494" s="72">
        <f>VLOOKUP($B464,[11]Complaints!$A$4:$AJ$39,27,)</f>
        <v>0</v>
      </c>
      <c r="O494" s="73">
        <f>VLOOKUP($B464,[12]Complaints!$A$4:$AJ$39,27,)</f>
        <v>0</v>
      </c>
      <c r="P494" s="69">
        <f t="shared" si="128"/>
        <v>0</v>
      </c>
      <c r="Q494" s="70" t="str">
        <f>IF(P494=0,"",P494/$P472)</f>
        <v/>
      </c>
      <c r="S494" s="18"/>
    </row>
    <row r="495" spans="1:19" ht="15.75" customHeight="1" x14ac:dyDescent="0.2">
      <c r="B495" s="145"/>
      <c r="C495" s="39" t="s">
        <v>87</v>
      </c>
      <c r="D495" s="71">
        <f>VLOOKUP($B464,[1]Complaints!$A$4:$AJ$39,28,)</f>
        <v>0</v>
      </c>
      <c r="E495" s="72">
        <f>VLOOKUP($B464,[2]Complaints!$A$4:$AJ$39,28,)</f>
        <v>0</v>
      </c>
      <c r="F495" s="72">
        <f>VLOOKUP($B464,[3]Complaints!$A$4:$AJ$39,28,)</f>
        <v>0</v>
      </c>
      <c r="G495" s="72">
        <f>VLOOKUP($B464,[4]Complaints!$A$4:$AJ$39,28,)</f>
        <v>0</v>
      </c>
      <c r="H495" s="72">
        <f>VLOOKUP($B464,[5]Complaints!$A$4:$AJ$39,28,)</f>
        <v>0</v>
      </c>
      <c r="I495" s="72">
        <f>VLOOKUP($B464,[6]Complaints!$A$4:$AJ$39,28,)</f>
        <v>0</v>
      </c>
      <c r="J495" s="72">
        <f>VLOOKUP($B464,[7]Complaints!$A$4:$AJ$39,28,)</f>
        <v>0</v>
      </c>
      <c r="K495" s="72">
        <f>VLOOKUP($B464,[8]Complaints!$A$4:$AJ$39,28,)</f>
        <v>0</v>
      </c>
      <c r="L495" s="72">
        <f>VLOOKUP($B464,[9]Complaints!$A$4:$AJ$39,28,)</f>
        <v>0</v>
      </c>
      <c r="M495" s="72">
        <f>VLOOKUP($B464,[10]Complaints!$A$4:$AJ$39,28,)</f>
        <v>1</v>
      </c>
      <c r="N495" s="72">
        <f>VLOOKUP($B464,[11]Complaints!$A$4:$AJ$39,28,)</f>
        <v>0</v>
      </c>
      <c r="O495" s="73">
        <f>VLOOKUP($B464,[12]Complaints!$A$4:$AJ$39,28,)</f>
        <v>0</v>
      </c>
      <c r="P495" s="69">
        <f t="shared" si="128"/>
        <v>1</v>
      </c>
      <c r="Q495" s="70">
        <f>IF(P495=0,"",P495/$P472)</f>
        <v>0.125</v>
      </c>
      <c r="R495" s="18"/>
    </row>
    <row r="496" spans="1:19" ht="15.75" customHeight="1" x14ac:dyDescent="0.2">
      <c r="B496" s="145"/>
      <c r="C496" s="38" t="s">
        <v>111</v>
      </c>
      <c r="D496" s="66">
        <f>VLOOKUP($B464,[1]Complaints!$A$4:$AJ$39,29,)</f>
        <v>0</v>
      </c>
      <c r="E496" s="67">
        <f>VLOOKUP($B464,[2]Complaints!$A$4:$AJ$39,29,)</f>
        <v>0</v>
      </c>
      <c r="F496" s="67">
        <f>VLOOKUP($B464,[3]Complaints!$A$4:$AJ$39,29,)</f>
        <v>0</v>
      </c>
      <c r="G496" s="67">
        <f>VLOOKUP($B464,[4]Complaints!$A$4:$AJ$39,29,)</f>
        <v>0</v>
      </c>
      <c r="H496" s="67">
        <f>VLOOKUP($B464,[5]Complaints!$A$4:$AJ$39,29,)</f>
        <v>0</v>
      </c>
      <c r="I496" s="67">
        <f>VLOOKUP($B464,[6]Complaints!$A$4:$AJ$39,29,)</f>
        <v>0</v>
      </c>
      <c r="J496" s="67">
        <f>VLOOKUP($B464,[7]Complaints!$A$4:$AJ$39,29,)</f>
        <v>0</v>
      </c>
      <c r="K496" s="67">
        <f>VLOOKUP($B464,[8]Complaints!$A$4:$AJ$39,29,)</f>
        <v>0</v>
      </c>
      <c r="L496" s="67">
        <f>VLOOKUP($B464,[9]Complaints!$A$4:$AJ$39,29,)</f>
        <v>0</v>
      </c>
      <c r="M496" s="67">
        <f>VLOOKUP($B464,[10]Complaints!$A$4:$AJ$39,29,)</f>
        <v>0</v>
      </c>
      <c r="N496" s="67">
        <f>VLOOKUP($B464,[11]Complaints!$A$4:$AJ$39,29,)</f>
        <v>0</v>
      </c>
      <c r="O496" s="68">
        <f>VLOOKUP($B464,[12]Complaints!$A$4:$AJ$39,29,)</f>
        <v>0</v>
      </c>
      <c r="P496" s="69">
        <f t="shared" si="128"/>
        <v>0</v>
      </c>
      <c r="Q496" s="70" t="str">
        <f>IF(P496=0,"",P496/$P472)</f>
        <v/>
      </c>
      <c r="R496" s="18"/>
    </row>
    <row r="497" spans="2:18" ht="15.75" customHeight="1" x14ac:dyDescent="0.2">
      <c r="B497" s="145"/>
      <c r="C497" s="38" t="s">
        <v>112</v>
      </c>
      <c r="D497" s="66">
        <f>VLOOKUP($B464,[1]Complaints!$A$4:$AJ$39,30,)</f>
        <v>0</v>
      </c>
      <c r="E497" s="67">
        <f>VLOOKUP($B464,[2]Complaints!$A$4:$AJ$39,30,)</f>
        <v>0</v>
      </c>
      <c r="F497" s="67">
        <f>VLOOKUP($B464,[3]Complaints!$A$4:$AJ$39,30,)</f>
        <v>0</v>
      </c>
      <c r="G497" s="67">
        <f>VLOOKUP($B464,[4]Complaints!$A$4:$AJ$39,30,)</f>
        <v>0</v>
      </c>
      <c r="H497" s="67">
        <f>VLOOKUP($B464,[5]Complaints!$A$4:$AJ$39,30,)</f>
        <v>0</v>
      </c>
      <c r="I497" s="67">
        <f>VLOOKUP($B464,[6]Complaints!$A$4:$AJ$39,30,)</f>
        <v>0</v>
      </c>
      <c r="J497" s="67">
        <f>VLOOKUP($B464,[7]Complaints!$A$4:$AJ$39,30,)</f>
        <v>0</v>
      </c>
      <c r="K497" s="67">
        <f>VLOOKUP($B464,[8]Complaints!$A$4:$AJ$39,30,)</f>
        <v>0</v>
      </c>
      <c r="L497" s="67">
        <f>VLOOKUP($B464,[9]Complaints!$A$4:$AJ$39,30,)</f>
        <v>0</v>
      </c>
      <c r="M497" s="67">
        <f>VLOOKUP($B464,[10]Complaints!$A$4:$AJ$39,30,)</f>
        <v>0</v>
      </c>
      <c r="N497" s="67">
        <f>VLOOKUP($B464,[11]Complaints!$A$4:$AJ$39,30,)</f>
        <v>0</v>
      </c>
      <c r="O497" s="68">
        <f>VLOOKUP($B464,[12]Complaints!$A$4:$AJ$39,30,)</f>
        <v>0</v>
      </c>
      <c r="P497" s="69">
        <f t="shared" si="128"/>
        <v>0</v>
      </c>
      <c r="Q497" s="70" t="str">
        <f>IF(P497=0,"",P497/$P472)</f>
        <v/>
      </c>
      <c r="R497" s="18"/>
    </row>
    <row r="498" spans="2:18" ht="15.75" customHeight="1" x14ac:dyDescent="0.2">
      <c r="B498" s="146"/>
      <c r="C498" s="40" t="s">
        <v>119</v>
      </c>
      <c r="D498" s="74">
        <f>VLOOKUP($B464,[1]Complaints!$A$4:$AJ$39,31,)</f>
        <v>0</v>
      </c>
      <c r="E498" s="75">
        <f>VLOOKUP($B464,[2]Complaints!$A$4:$AJ$39,31,)</f>
        <v>0</v>
      </c>
      <c r="F498" s="75">
        <f>VLOOKUP($B464,[3]Complaints!$A$4:$AJ$39,31,)</f>
        <v>0</v>
      </c>
      <c r="G498" s="75">
        <f>VLOOKUP($B464,[4]Complaints!$A$4:$AJ$39,31,)</f>
        <v>0</v>
      </c>
      <c r="H498" s="75">
        <f>VLOOKUP($B464,[5]Complaints!$A$4:$AJ$39,31,)</f>
        <v>0</v>
      </c>
      <c r="I498" s="75">
        <f>VLOOKUP($B464,[6]Complaints!$A$4:$AJ$39,31,)</f>
        <v>1</v>
      </c>
      <c r="J498" s="75">
        <f>VLOOKUP($B464,[7]Complaints!$A$4:$AJ$39,31,)</f>
        <v>1</v>
      </c>
      <c r="K498" s="75">
        <f>VLOOKUP($B464,[8]Complaints!$A$4:$AJ$39,31,)</f>
        <v>1</v>
      </c>
      <c r="L498" s="75">
        <f>VLOOKUP($B464,[9]Complaints!$A$4:$AJ$39,31,)</f>
        <v>0</v>
      </c>
      <c r="M498" s="75">
        <f>VLOOKUP($B464,[10]Complaints!$A$4:$AJ$39,31,)</f>
        <v>1</v>
      </c>
      <c r="N498" s="75">
        <f>VLOOKUP($B464,[11]Complaints!$A$4:$AJ$39,31,)</f>
        <v>0</v>
      </c>
      <c r="O498" s="76">
        <f>VLOOKUP($B464,[12]Complaints!$A$4:$AJ$39,31,)</f>
        <v>0</v>
      </c>
      <c r="P498" s="77">
        <f t="shared" si="128"/>
        <v>4</v>
      </c>
      <c r="Q498" s="50">
        <f>IF(P498=0,"",P498/$P472)</f>
        <v>0.5</v>
      </c>
      <c r="R498" s="18"/>
    </row>
    <row r="499" spans="2:18" ht="15.75" customHeight="1" x14ac:dyDescent="0.2">
      <c r="B499" s="146"/>
      <c r="C499" s="38" t="s">
        <v>113</v>
      </c>
      <c r="D499" s="66">
        <f>VLOOKUP($B464,[1]Complaints!$A$4:$AJ$39,32,)</f>
        <v>0</v>
      </c>
      <c r="E499" s="67">
        <f>VLOOKUP($B464,[2]Complaints!$A$4:$AJ$39,32,)</f>
        <v>0</v>
      </c>
      <c r="F499" s="67">
        <f>VLOOKUP($B464,[3]Complaints!$A$4:$AJ$39,32,)</f>
        <v>0</v>
      </c>
      <c r="G499" s="67">
        <f>VLOOKUP($B464,[4]Complaints!$A$4:$AJ$39,32,)</f>
        <v>0</v>
      </c>
      <c r="H499" s="67">
        <f>VLOOKUP($B464,[5]Complaints!$A$4:$AJ$39,32,)</f>
        <v>0</v>
      </c>
      <c r="I499" s="67">
        <f>VLOOKUP($B464,[6]Complaints!$A$4:$AJ$39,32,)</f>
        <v>0</v>
      </c>
      <c r="J499" s="67">
        <f>VLOOKUP($B464,[7]Complaints!$A$4:$AJ$39,32,)</f>
        <v>1</v>
      </c>
      <c r="K499" s="67">
        <f>VLOOKUP($B464,[8]Complaints!$A$4:$AJ$39,32,)</f>
        <v>1</v>
      </c>
      <c r="L499" s="67">
        <f>VLOOKUP($B464,[9]Complaints!$A$4:$AJ$39,32,)</f>
        <v>0</v>
      </c>
      <c r="M499" s="67">
        <f>VLOOKUP($B464,[10]Complaints!$A$4:$AJ$39,32,)</f>
        <v>1</v>
      </c>
      <c r="N499" s="67">
        <f>VLOOKUP($B464,[11]Complaints!$A$4:$AJ$39,32,)</f>
        <v>0</v>
      </c>
      <c r="O499" s="68">
        <f>VLOOKUP($B464,[12]Complaints!$A$4:$AJ$39,32,)</f>
        <v>0</v>
      </c>
      <c r="P499" s="69">
        <f t="shared" si="128"/>
        <v>3</v>
      </c>
      <c r="Q499" s="70">
        <f>IF(P499=0,"",P499/$P472)</f>
        <v>0.375</v>
      </c>
      <c r="R499" s="18"/>
    </row>
    <row r="500" spans="2:18" ht="15.75" customHeight="1" x14ac:dyDescent="0.2">
      <c r="B500" s="146"/>
      <c r="C500" s="38" t="s">
        <v>114</v>
      </c>
      <c r="D500" s="66">
        <f>VLOOKUP($B464,[1]Complaints!$A$4:$AJ$39,33,)</f>
        <v>0</v>
      </c>
      <c r="E500" s="67">
        <f>VLOOKUP($B464,[2]Complaints!$A$4:$AJ$39,33,)</f>
        <v>0</v>
      </c>
      <c r="F500" s="67">
        <f>VLOOKUP($B464,[3]Complaints!$A$4:$AJ$39,33,)</f>
        <v>0</v>
      </c>
      <c r="G500" s="67">
        <f>VLOOKUP($B464,[4]Complaints!$A$4:$AJ$39,33,)</f>
        <v>0</v>
      </c>
      <c r="H500" s="67">
        <f>VLOOKUP($B464,[5]Complaints!$A$4:$AJ$39,33,)</f>
        <v>0</v>
      </c>
      <c r="I500" s="67">
        <f>VLOOKUP($B464,[6]Complaints!$A$4:$AJ$39,33,)</f>
        <v>0</v>
      </c>
      <c r="J500" s="67">
        <f>VLOOKUP($B464,[7]Complaints!$A$4:$AJ$39,33,)</f>
        <v>0</v>
      </c>
      <c r="K500" s="67">
        <f>VLOOKUP($B464,[8]Complaints!$A$4:$AJ$39,33,)</f>
        <v>0</v>
      </c>
      <c r="L500" s="67">
        <f>VLOOKUP($B464,[9]Complaints!$A$4:$AJ$39,33,)</f>
        <v>0</v>
      </c>
      <c r="M500" s="67">
        <f>VLOOKUP($B464,[10]Complaints!$A$4:$AJ$39,33,)</f>
        <v>0</v>
      </c>
      <c r="N500" s="67">
        <f>VLOOKUP($B464,[11]Complaints!$A$4:$AJ$39,33,)</f>
        <v>0</v>
      </c>
      <c r="O500" s="68">
        <f>VLOOKUP($B464,[12]Complaints!$A$4:$AJ$39,33,)</f>
        <v>0</v>
      </c>
      <c r="P500" s="69">
        <f t="shared" si="128"/>
        <v>0</v>
      </c>
      <c r="Q500" s="70" t="str">
        <f>IF(P500=0,"",P500/$P472)</f>
        <v/>
      </c>
      <c r="R500" s="18"/>
    </row>
    <row r="501" spans="2:18" ht="15.75" customHeight="1" x14ac:dyDescent="0.2">
      <c r="B501" s="146"/>
      <c r="C501" s="38" t="s">
        <v>115</v>
      </c>
      <c r="D501" s="66">
        <f>VLOOKUP($B464,[1]Complaints!$A$4:$AJ$39,34,)</f>
        <v>0</v>
      </c>
      <c r="E501" s="67">
        <f>VLOOKUP($B464,[2]Complaints!$A$4:$AJ$39,34,)</f>
        <v>0</v>
      </c>
      <c r="F501" s="67">
        <f>VLOOKUP($B464,[3]Complaints!$A$4:$AJ$39,34,)</f>
        <v>0</v>
      </c>
      <c r="G501" s="67">
        <f>VLOOKUP($B464,[4]Complaints!$A$4:$AJ$39,34,)</f>
        <v>0</v>
      </c>
      <c r="H501" s="67">
        <f>VLOOKUP($B464,[5]Complaints!$A$4:$AJ$39,34,)</f>
        <v>0</v>
      </c>
      <c r="I501" s="67">
        <f>VLOOKUP($B464,[6]Complaints!$A$4:$AJ$39,34,)</f>
        <v>0</v>
      </c>
      <c r="J501" s="67">
        <f>VLOOKUP($B464,[7]Complaints!$A$4:$AJ$39,34,)</f>
        <v>0</v>
      </c>
      <c r="K501" s="67">
        <f>VLOOKUP($B464,[8]Complaints!$A$4:$AJ$39,34,)</f>
        <v>0</v>
      </c>
      <c r="L501" s="67">
        <f>VLOOKUP($B464,[9]Complaints!$A$4:$AJ$39,34,)</f>
        <v>0</v>
      </c>
      <c r="M501" s="67">
        <f>VLOOKUP($B464,[10]Complaints!$A$4:$AJ$39,34,)</f>
        <v>0</v>
      </c>
      <c r="N501" s="67">
        <f>VLOOKUP($B464,[11]Complaints!$A$4:$AJ$39,34,)</f>
        <v>0</v>
      </c>
      <c r="O501" s="68">
        <f>VLOOKUP($B464,[12]Complaints!$A$4:$AJ$39,34,)</f>
        <v>0</v>
      </c>
      <c r="P501" s="69">
        <f t="shared" si="128"/>
        <v>0</v>
      </c>
      <c r="Q501" s="70" t="str">
        <f>IF(P501=0,"",P501/$P472)</f>
        <v/>
      </c>
      <c r="R501" s="18"/>
    </row>
    <row r="502" spans="2:18" ht="15.75" customHeight="1" x14ac:dyDescent="0.2">
      <c r="B502" s="146"/>
      <c r="C502" s="38" t="s">
        <v>116</v>
      </c>
      <c r="D502" s="66">
        <f>VLOOKUP($B464,[1]Complaints!$A$4:$AJ$39,35,)</f>
        <v>0</v>
      </c>
      <c r="E502" s="67">
        <f>VLOOKUP($B464,[2]Complaints!$A$4:$AJ$39,35,)</f>
        <v>0</v>
      </c>
      <c r="F502" s="67">
        <f>VLOOKUP($B464,[3]Complaints!$A$4:$AJ$39,35,)</f>
        <v>0</v>
      </c>
      <c r="G502" s="67">
        <f>VLOOKUP($B464,[4]Complaints!$A$4:$AJ$39,35,)</f>
        <v>0</v>
      </c>
      <c r="H502" s="67">
        <f>VLOOKUP($B464,[5]Complaints!$A$4:$AJ$39,35,)</f>
        <v>0</v>
      </c>
      <c r="I502" s="67">
        <f>VLOOKUP($B464,[6]Complaints!$A$4:$AJ$39,35,)</f>
        <v>1</v>
      </c>
      <c r="J502" s="67">
        <f>VLOOKUP($B464,[7]Complaints!$A$4:$AJ$39,35,)</f>
        <v>0</v>
      </c>
      <c r="K502" s="67">
        <f>VLOOKUP($B464,[8]Complaints!$A$4:$AJ$39,35,)</f>
        <v>0</v>
      </c>
      <c r="L502" s="67">
        <f>VLOOKUP($B464,[9]Complaints!$A$4:$AJ$39,35,)</f>
        <v>0</v>
      </c>
      <c r="M502" s="67">
        <f>VLOOKUP($B464,[10]Complaints!$A$4:$AJ$39,35,)</f>
        <v>0</v>
      </c>
      <c r="N502" s="67">
        <f>VLOOKUP($B464,[11]Complaints!$A$4:$AJ$39,35,)</f>
        <v>0</v>
      </c>
      <c r="O502" s="68">
        <f>VLOOKUP($B464,[12]Complaints!$A$4:$AJ$39,35,)</f>
        <v>0</v>
      </c>
      <c r="P502" s="69">
        <f t="shared" si="128"/>
        <v>1</v>
      </c>
      <c r="Q502" s="70">
        <f>IF(P502=0,"",P502/$P472)</f>
        <v>0.125</v>
      </c>
      <c r="R502" s="18"/>
    </row>
    <row r="503" spans="2:18" ht="15.75" customHeight="1" thickBot="1" x14ac:dyDescent="0.25">
      <c r="B503" s="147"/>
      <c r="C503" s="41" t="s">
        <v>117</v>
      </c>
      <c r="D503" s="78">
        <f>VLOOKUP($B464,[1]Complaints!$A$4:$AJ$39,36,)</f>
        <v>0</v>
      </c>
      <c r="E503" s="79">
        <f>VLOOKUP($B464,[2]Complaints!$A$4:$AJ$39,36,)</f>
        <v>0</v>
      </c>
      <c r="F503" s="79">
        <f>VLOOKUP($B464,[3]Complaints!$A$4:$AJ$39,36,)</f>
        <v>0</v>
      </c>
      <c r="G503" s="79">
        <f>VLOOKUP($B464,[4]Complaints!$A$4:$AJ$39,36,)</f>
        <v>0</v>
      </c>
      <c r="H503" s="79">
        <f>VLOOKUP($B464,[5]Complaints!$A$4:$AJ$39,36,)</f>
        <v>0</v>
      </c>
      <c r="I503" s="79">
        <f>VLOOKUP($B464,[6]Complaints!$A$4:$AJ$39,36,)</f>
        <v>0</v>
      </c>
      <c r="J503" s="79">
        <f>VLOOKUP($B464,[7]Complaints!$A$4:$AJ$39,36,)</f>
        <v>0</v>
      </c>
      <c r="K503" s="79">
        <f>VLOOKUP($B464,[8]Complaints!$A$4:$AJ$39,36,)</f>
        <v>0</v>
      </c>
      <c r="L503" s="79">
        <f>VLOOKUP($B464,[9]Complaints!$A$4:$AJ$39,36,)</f>
        <v>0</v>
      </c>
      <c r="M503" s="79">
        <f>VLOOKUP($B464,[10]Complaints!$A$4:$AJ$39,36,)</f>
        <v>0</v>
      </c>
      <c r="N503" s="79">
        <f>VLOOKUP($B464,[11]Complaints!$A$4:$AJ$39,36,)</f>
        <v>0</v>
      </c>
      <c r="O503" s="80">
        <f>VLOOKUP($B464,[12]Complaints!$A$4:$AJ$39,36,)</f>
        <v>0</v>
      </c>
      <c r="P503" s="81">
        <f t="shared" si="128"/>
        <v>0</v>
      </c>
      <c r="Q503" s="82" t="str">
        <f>IF(P503=0,"",P503/$P472)</f>
        <v/>
      </c>
      <c r="R503" s="18"/>
    </row>
    <row r="504" spans="2:18" ht="15.75" customHeight="1" thickBot="1" x14ac:dyDescent="0.25">
      <c r="R504" s="18"/>
    </row>
    <row r="505" spans="2:18" ht="15.75" customHeight="1" x14ac:dyDescent="0.25">
      <c r="B505" s="158" t="s">
        <v>41</v>
      </c>
      <c r="C505" s="159"/>
      <c r="D505" s="32" t="s">
        <v>0</v>
      </c>
      <c r="E505" s="20" t="s">
        <v>1</v>
      </c>
      <c r="F505" s="20" t="s">
        <v>2</v>
      </c>
      <c r="G505" s="20" t="s">
        <v>3</v>
      </c>
      <c r="H505" s="20" t="s">
        <v>4</v>
      </c>
      <c r="I505" s="20" t="s">
        <v>5</v>
      </c>
      <c r="J505" s="20" t="s">
        <v>6</v>
      </c>
      <c r="K505" s="20" t="s">
        <v>7</v>
      </c>
      <c r="L505" s="20" t="s">
        <v>8</v>
      </c>
      <c r="M505" s="20" t="s">
        <v>9</v>
      </c>
      <c r="N505" s="20" t="s">
        <v>10</v>
      </c>
      <c r="O505" s="33" t="s">
        <v>11</v>
      </c>
      <c r="P505" s="35" t="s">
        <v>12</v>
      </c>
      <c r="Q505" s="160" t="s">
        <v>104</v>
      </c>
      <c r="R505" s="18"/>
    </row>
    <row r="506" spans="2:18" ht="15.75" customHeight="1" thickBot="1" x14ac:dyDescent="0.3">
      <c r="B506" s="162" t="s">
        <v>62</v>
      </c>
      <c r="C506" s="163"/>
      <c r="D506" s="34">
        <v>2020</v>
      </c>
      <c r="E506" s="34">
        <v>2020</v>
      </c>
      <c r="F506" s="34">
        <v>2020</v>
      </c>
      <c r="G506" s="34">
        <v>2020</v>
      </c>
      <c r="H506" s="34">
        <v>2020</v>
      </c>
      <c r="I506" s="34">
        <v>2020</v>
      </c>
      <c r="J506" s="34">
        <v>2020</v>
      </c>
      <c r="K506" s="34">
        <v>2020</v>
      </c>
      <c r="L506" s="34">
        <v>2020</v>
      </c>
      <c r="M506" s="25">
        <v>2021</v>
      </c>
      <c r="N506" s="25">
        <v>2021</v>
      </c>
      <c r="O506" s="25">
        <v>2021</v>
      </c>
      <c r="P506" s="36" t="s">
        <v>122</v>
      </c>
      <c r="Q506" s="161"/>
      <c r="R506" s="18"/>
    </row>
    <row r="507" spans="2:18" ht="12.75" customHeight="1" thickBot="1" x14ac:dyDescent="0.25">
      <c r="B507" s="164" t="s">
        <v>38</v>
      </c>
      <c r="C507" s="165"/>
      <c r="D507" s="42">
        <f>VLOOKUP($B506,[1]Complaints!$A$4:$AJ$39,2,)</f>
        <v>302</v>
      </c>
      <c r="E507" s="43">
        <f>VLOOKUP($B506,[2]Complaints!$A$4:$AJ$39,2,)</f>
        <v>466</v>
      </c>
      <c r="F507" s="43">
        <f>VLOOKUP($B506,[3]Complaints!$A$4:$AJ$39,2)</f>
        <v>740</v>
      </c>
      <c r="G507" s="43">
        <f>VLOOKUP($B506,[4]Complaints!$A$4:$AJ$39,2)</f>
        <v>1178</v>
      </c>
      <c r="H507" s="43">
        <f>VLOOKUP($B506,[5]Complaints!$A$4:$AJ$39,2)</f>
        <v>1453</v>
      </c>
      <c r="I507" s="43">
        <f>VLOOKUP($B506,[6]Complaints!$A$4:$AJ$39,2)</f>
        <v>1398</v>
      </c>
      <c r="J507" s="43">
        <f>VLOOKUP($B506,[7]Complaints!$A$4:$AJ$39,2)</f>
        <v>1499</v>
      </c>
      <c r="K507" s="43">
        <f>VLOOKUP($B506,[8]Complaints!$A$4:$AJ$39,2)</f>
        <v>1499</v>
      </c>
      <c r="L507" s="43">
        <f>VLOOKUP($B506,[9]Complaints!$A$4:$AJ$39,2)</f>
        <v>1366</v>
      </c>
      <c r="M507" s="43">
        <f>VLOOKUP($B506,[10]Complaints!$A$4:$AJ$39,2)</f>
        <v>1096</v>
      </c>
      <c r="N507" s="43">
        <f>VLOOKUP($B506,[11]Complaints!$A$4:$AJ$39,2)</f>
        <v>0</v>
      </c>
      <c r="O507" s="44">
        <f>VLOOKUP($B506,[12]Complaints!$A$4:$AJ$39,2)</f>
        <v>0</v>
      </c>
      <c r="P507" s="45">
        <f>SUM(D507:O507)</f>
        <v>10997</v>
      </c>
      <c r="Q507" s="46"/>
      <c r="R507" s="18"/>
    </row>
    <row r="508" spans="2:18" ht="15.75" customHeight="1" x14ac:dyDescent="0.2">
      <c r="B508" s="166" t="s">
        <v>94</v>
      </c>
      <c r="C508" s="167"/>
      <c r="D508" s="47">
        <f>VLOOKUP($B506,[1]Complaints!$A$4:$AF$39,3,)</f>
        <v>0</v>
      </c>
      <c r="E508" s="48">
        <f>VLOOKUP($B506,[2]Complaints!$A$4:$AF$39,3,)</f>
        <v>0</v>
      </c>
      <c r="F508" s="48">
        <f>VLOOKUP($B506,[3]Complaints!$A$4:$AG$39,3,)</f>
        <v>1</v>
      </c>
      <c r="G508" s="48">
        <f>VLOOKUP($B506,[4]Complaints!$A$4:$AG$39,3,)</f>
        <v>1</v>
      </c>
      <c r="H508" s="48">
        <f>VLOOKUP($B506,[5]Complaints!$A$4:$AG$39,3,)</f>
        <v>4</v>
      </c>
      <c r="I508" s="48">
        <f>VLOOKUP($B506,[6]Complaints!$A$4:$AG$39,3,)</f>
        <v>1</v>
      </c>
      <c r="J508" s="48">
        <f>VLOOKUP($B506,[7]Complaints!$A$4:$AG$39,3,)</f>
        <v>2</v>
      </c>
      <c r="K508" s="48">
        <f>VLOOKUP($B506,[8]Complaints!$A$4:$AG$39,3,)</f>
        <v>2</v>
      </c>
      <c r="L508" s="48">
        <f>VLOOKUP($B506,[9]Complaints!$A$4:$AG$39,3,)</f>
        <v>1</v>
      </c>
      <c r="M508" s="48">
        <f>VLOOKUP($B506,[10]Complaints!$A$4:$AG$39,3,)</f>
        <v>0</v>
      </c>
      <c r="N508" s="48">
        <f>VLOOKUP($B506,[11]Complaints!$A$4:$AG$39,3,)</f>
        <v>0</v>
      </c>
      <c r="O508" s="49">
        <f>VLOOKUP($B506,[12]Complaints!$A$4:$AG$39,3,)</f>
        <v>0</v>
      </c>
      <c r="P508" s="45">
        <f>SUM(D508:O508)</f>
        <v>12</v>
      </c>
      <c r="Q508" s="50"/>
      <c r="R508" s="18"/>
    </row>
    <row r="509" spans="2:18" ht="15.75" customHeight="1" x14ac:dyDescent="0.2">
      <c r="B509" s="26"/>
      <c r="C509" s="28" t="s">
        <v>102</v>
      </c>
      <c r="D509" s="51">
        <f>IF(D507=0,"",D508/D507)</f>
        <v>0</v>
      </c>
      <c r="E509" s="52">
        <f t="shared" ref="E509:O509" si="129">IF(E507=0,"",E508/E507)</f>
        <v>0</v>
      </c>
      <c r="F509" s="52">
        <f t="shared" si="129"/>
        <v>1.3513513513513514E-3</v>
      </c>
      <c r="G509" s="52">
        <f t="shared" si="129"/>
        <v>8.4889643463497452E-4</v>
      </c>
      <c r="H509" s="52">
        <f t="shared" si="129"/>
        <v>2.7529249827942187E-3</v>
      </c>
      <c r="I509" s="52">
        <f t="shared" si="129"/>
        <v>7.1530758226037196E-4</v>
      </c>
      <c r="J509" s="52">
        <f t="shared" si="129"/>
        <v>1.33422281521014E-3</v>
      </c>
      <c r="K509" s="52">
        <f t="shared" si="129"/>
        <v>1.33422281521014E-3</v>
      </c>
      <c r="L509" s="52">
        <f t="shared" si="129"/>
        <v>7.320644216691069E-4</v>
      </c>
      <c r="M509" s="52">
        <f t="shared" si="129"/>
        <v>0</v>
      </c>
      <c r="N509" s="52" t="str">
        <f t="shared" si="129"/>
        <v/>
      </c>
      <c r="O509" s="53" t="str">
        <f t="shared" si="129"/>
        <v/>
      </c>
      <c r="P509" s="54">
        <f>IF(P508="","",P508/P507)</f>
        <v>1.0912066927343822E-3</v>
      </c>
      <c r="Q509" s="50"/>
      <c r="R509" s="18"/>
    </row>
    <row r="510" spans="2:18" s="21" customFormat="1" ht="15.75" customHeight="1" x14ac:dyDescent="0.2">
      <c r="B510" s="155" t="s">
        <v>95</v>
      </c>
      <c r="C510" s="156"/>
      <c r="D510" s="47">
        <f>VLOOKUP($B506,[1]Complaints!$A$4:$AF$39,4,)</f>
        <v>0</v>
      </c>
      <c r="E510" s="48">
        <f>VLOOKUP($B506,[2]Complaints!$A$4:$AF$39,4,)</f>
        <v>0</v>
      </c>
      <c r="F510" s="48">
        <f>VLOOKUP($B506,[3]Complaints!$A$4:$AG$39,4,)</f>
        <v>0</v>
      </c>
      <c r="G510" s="48">
        <f>VLOOKUP($B506,[4]Complaints!$A$4:$AG$39,4,)</f>
        <v>0</v>
      </c>
      <c r="H510" s="48">
        <f>VLOOKUP($B506,[5]Complaints!$A$4:$AG$39,4,)</f>
        <v>2</v>
      </c>
      <c r="I510" s="48">
        <f>VLOOKUP($B506,[6]Complaints!$A$4:$AG$39,4,)</f>
        <v>0</v>
      </c>
      <c r="J510" s="48">
        <f>VLOOKUP($B506,[7]Complaints!$A$4:$AG$39,4,)</f>
        <v>0</v>
      </c>
      <c r="K510" s="48">
        <f>VLOOKUP($B506,[8]Complaints!$A$4:$AG$39,4,)</f>
        <v>0</v>
      </c>
      <c r="L510" s="48">
        <f>VLOOKUP($B506,[9]Complaints!$A$4:$AG$39,4,)</f>
        <v>1</v>
      </c>
      <c r="M510" s="48">
        <f>VLOOKUP($B506,[10]Complaints!$A$4:$AG$39,4,)</f>
        <v>0</v>
      </c>
      <c r="N510" s="48">
        <f>VLOOKUP($B506,[11]Complaints!$A$4:$AG$39,4,)</f>
        <v>0</v>
      </c>
      <c r="O510" s="49">
        <f>VLOOKUP($B506,[12]Complaints!$A$4:$AG$39,4,)</f>
        <v>0</v>
      </c>
      <c r="P510" s="55">
        <f t="shared" ref="P510" si="130">SUM(D510:O510)</f>
        <v>3</v>
      </c>
      <c r="Q510" s="50"/>
    </row>
    <row r="511" spans="2:18" ht="15.75" customHeight="1" x14ac:dyDescent="0.2">
      <c r="B511" s="26"/>
      <c r="C511" s="28" t="s">
        <v>98</v>
      </c>
      <c r="D511" s="51">
        <f>IF(D507=0,"",D510/D507)</f>
        <v>0</v>
      </c>
      <c r="E511" s="52">
        <f t="shared" ref="E511:O511" si="131">IF(E507=0,"",E510/E507)</f>
        <v>0</v>
      </c>
      <c r="F511" s="52">
        <f t="shared" si="131"/>
        <v>0</v>
      </c>
      <c r="G511" s="52">
        <f t="shared" si="131"/>
        <v>0</v>
      </c>
      <c r="H511" s="52">
        <f t="shared" si="131"/>
        <v>1.3764624913971094E-3</v>
      </c>
      <c r="I511" s="52">
        <f t="shared" si="131"/>
        <v>0</v>
      </c>
      <c r="J511" s="52">
        <f t="shared" si="131"/>
        <v>0</v>
      </c>
      <c r="K511" s="52">
        <f t="shared" si="131"/>
        <v>0</v>
      </c>
      <c r="L511" s="52">
        <f t="shared" si="131"/>
        <v>7.320644216691069E-4</v>
      </c>
      <c r="M511" s="52">
        <f t="shared" si="131"/>
        <v>0</v>
      </c>
      <c r="N511" s="52" t="str">
        <f t="shared" si="131"/>
        <v/>
      </c>
      <c r="O511" s="53" t="str">
        <f t="shared" si="131"/>
        <v/>
      </c>
      <c r="P511" s="54">
        <f>IF(P510="","",P510/P507)</f>
        <v>2.7280167318359554E-4</v>
      </c>
      <c r="Q511" s="50"/>
      <c r="R511" s="18"/>
    </row>
    <row r="512" spans="2:18" ht="15.75" customHeight="1" x14ac:dyDescent="0.2">
      <c r="B512" s="155" t="s">
        <v>96</v>
      </c>
      <c r="C512" s="156"/>
      <c r="D512" s="47">
        <f>VLOOKUP($B506,[1]Complaints!$A$4:$AF$39,5,)</f>
        <v>0</v>
      </c>
      <c r="E512" s="48">
        <f>VLOOKUP($B506,[2]Complaints!$A$4:$AF$39,5,)</f>
        <v>0</v>
      </c>
      <c r="F512" s="48">
        <f>VLOOKUP($B506,[3]Complaints!$A$4:$AG$39,5,)</f>
        <v>1</v>
      </c>
      <c r="G512" s="48">
        <f>VLOOKUP($B506,[4]Complaints!$A$4:$AG$39,5,)</f>
        <v>1</v>
      </c>
      <c r="H512" s="48">
        <f>VLOOKUP($B506,[5]Complaints!$A$4:$AG$39,5,)</f>
        <v>2</v>
      </c>
      <c r="I512" s="48">
        <f>VLOOKUP($B506,[6]Complaints!$A$4:$AG$39,5,)</f>
        <v>1</v>
      </c>
      <c r="J512" s="48">
        <f>VLOOKUP($B506,[7]Complaints!$A$4:$AG$39,5,)</f>
        <v>2</v>
      </c>
      <c r="K512" s="48">
        <f>VLOOKUP($B506,[8]Complaints!$A$4:$AG$39,5,)</f>
        <v>2</v>
      </c>
      <c r="L512" s="48">
        <f>VLOOKUP($B506,[9]Complaints!$A$4:$AG$39,5,)</f>
        <v>0</v>
      </c>
      <c r="M512" s="48">
        <f>VLOOKUP($B506,[10]Complaints!$A$4:$AG$39,5,)</f>
        <v>0</v>
      </c>
      <c r="N512" s="48">
        <f>VLOOKUP($B506,[11]Complaints!$A$4:$AG$39,5,)</f>
        <v>0</v>
      </c>
      <c r="O512" s="49">
        <f>VLOOKUP($B506,[12]Complaints!$A$4:$AG$39,5,)</f>
        <v>0</v>
      </c>
      <c r="P512" s="55">
        <f t="shared" ref="P512" si="132">SUM(D512:O512)</f>
        <v>9</v>
      </c>
      <c r="Q512" s="50"/>
      <c r="R512" s="18"/>
    </row>
    <row r="513" spans="2:18" ht="15.75" customHeight="1" x14ac:dyDescent="0.2">
      <c r="B513" s="26"/>
      <c r="C513" s="28" t="s">
        <v>99</v>
      </c>
      <c r="D513" s="51">
        <f>IF(D507=0,"",D512/D507)</f>
        <v>0</v>
      </c>
      <c r="E513" s="52">
        <f t="shared" ref="E513:O513" si="133">IF(E507=0,"",E512/E507)</f>
        <v>0</v>
      </c>
      <c r="F513" s="52">
        <f t="shared" si="133"/>
        <v>1.3513513513513514E-3</v>
      </c>
      <c r="G513" s="52">
        <f t="shared" si="133"/>
        <v>8.4889643463497452E-4</v>
      </c>
      <c r="H513" s="52">
        <f t="shared" si="133"/>
        <v>1.3764624913971094E-3</v>
      </c>
      <c r="I513" s="52">
        <f t="shared" si="133"/>
        <v>7.1530758226037196E-4</v>
      </c>
      <c r="J513" s="52">
        <f t="shared" si="133"/>
        <v>1.33422281521014E-3</v>
      </c>
      <c r="K513" s="52">
        <f t="shared" si="133"/>
        <v>1.33422281521014E-3</v>
      </c>
      <c r="L513" s="52">
        <f t="shared" si="133"/>
        <v>0</v>
      </c>
      <c r="M513" s="52">
        <f t="shared" si="133"/>
        <v>0</v>
      </c>
      <c r="N513" s="52" t="str">
        <f t="shared" si="133"/>
        <v/>
      </c>
      <c r="O513" s="53" t="str">
        <f t="shared" si="133"/>
        <v/>
      </c>
      <c r="P513" s="54">
        <f>IF(P512="","",P512/P507)</f>
        <v>8.1840501955078658E-4</v>
      </c>
      <c r="Q513" s="50"/>
      <c r="R513" s="18"/>
    </row>
    <row r="514" spans="2:18" ht="15.75" customHeight="1" x14ac:dyDescent="0.2">
      <c r="B514" s="157" t="s">
        <v>97</v>
      </c>
      <c r="C514" s="156"/>
      <c r="D514" s="47">
        <f>VLOOKUP($B506,[1]Complaints!$A$4:$AF$39,6,)</f>
        <v>0</v>
      </c>
      <c r="E514" s="48">
        <f>VLOOKUP($B506,[2]Complaints!$A$4:$AF$39,6,)</f>
        <v>0</v>
      </c>
      <c r="F514" s="48">
        <f>VLOOKUP($B506,[3]Complaints!$A$4:$AG$39,6,)</f>
        <v>1</v>
      </c>
      <c r="G514" s="48">
        <f>VLOOKUP($B506,[4]Complaints!$A$4:$AG$39,6,)</f>
        <v>1</v>
      </c>
      <c r="H514" s="48">
        <f>VLOOKUP($B506,[5]Complaints!$A$4:$AG$39,6,)</f>
        <v>2</v>
      </c>
      <c r="I514" s="48">
        <f>VLOOKUP($B506,[6]Complaints!$A$4:$AG$39,6,)</f>
        <v>1</v>
      </c>
      <c r="J514" s="48">
        <f>VLOOKUP($B506,[7]Complaints!$A$4:$AG$39,6,)</f>
        <v>1</v>
      </c>
      <c r="K514" s="48">
        <f>VLOOKUP($B506,[8]Complaints!$A$4:$AG$39,6,)</f>
        <v>1</v>
      </c>
      <c r="L514" s="48">
        <f>VLOOKUP($B506,[9]Complaints!$A$4:$AG$39,6,)</f>
        <v>1</v>
      </c>
      <c r="M514" s="48">
        <f>VLOOKUP($B506,[10]Complaints!$A$4:$AG$39,6,)</f>
        <v>0</v>
      </c>
      <c r="N514" s="48">
        <f>VLOOKUP($B506,[11]Complaints!$A$4:$AG$39,6,)</f>
        <v>0</v>
      </c>
      <c r="O514" s="49">
        <f>VLOOKUP($B506,[12]Complaints!$A$4:$AG$39,6,)</f>
        <v>0</v>
      </c>
      <c r="P514" s="55">
        <f t="shared" ref="P514" si="134">SUM(D514:O514)</f>
        <v>8</v>
      </c>
      <c r="Q514" s="50"/>
      <c r="R514" s="18"/>
    </row>
    <row r="515" spans="2:18" ht="15.75" customHeight="1" thickBot="1" x14ac:dyDescent="0.25">
      <c r="B515" s="27"/>
      <c r="C515" s="29" t="s">
        <v>100</v>
      </c>
      <c r="D515" s="56" t="str">
        <f>IF(D514=0,"",D514/D512)</f>
        <v/>
      </c>
      <c r="E515" s="57" t="str">
        <f t="shared" ref="E515:H515" si="135">IF(E514=0,"",E514/E512)</f>
        <v/>
      </c>
      <c r="F515" s="57">
        <f t="shared" si="135"/>
        <v>1</v>
      </c>
      <c r="G515" s="57">
        <f t="shared" si="135"/>
        <v>1</v>
      </c>
      <c r="H515" s="57">
        <f t="shared" si="135"/>
        <v>1</v>
      </c>
      <c r="I515" s="57">
        <f>IF(I514=0,"",I514/I512)</f>
        <v>1</v>
      </c>
      <c r="J515" s="57">
        <f t="shared" ref="J515:O515" si="136">IF(J514=0,"",J514/J512)</f>
        <v>0.5</v>
      </c>
      <c r="K515" s="57">
        <f t="shared" si="136"/>
        <v>0.5</v>
      </c>
      <c r="L515" s="57" t="e">
        <f t="shared" si="136"/>
        <v>#DIV/0!</v>
      </c>
      <c r="M515" s="57" t="str">
        <f t="shared" si="136"/>
        <v/>
      </c>
      <c r="N515" s="57" t="str">
        <f t="shared" si="136"/>
        <v/>
      </c>
      <c r="O515" s="58" t="str">
        <f t="shared" si="136"/>
        <v/>
      </c>
      <c r="P515" s="59">
        <f>IF(P514=0,"",P514/P512)</f>
        <v>0.88888888888888884</v>
      </c>
      <c r="Q515" s="60"/>
      <c r="R515" s="18"/>
    </row>
    <row r="516" spans="2:18" ht="15.75" customHeight="1" x14ac:dyDescent="0.2">
      <c r="B516" s="168" t="s">
        <v>103</v>
      </c>
      <c r="C516" s="30" t="s">
        <v>77</v>
      </c>
      <c r="D516" s="61">
        <f>VLOOKUP($B506,[1]Complaints!$A$4:$AJ$39,7,)</f>
        <v>0</v>
      </c>
      <c r="E516" s="43">
        <f>VLOOKUP($B506,[2]Complaints!$A$4:$AJ$39,7,)</f>
        <v>0</v>
      </c>
      <c r="F516" s="43">
        <f>VLOOKUP($B506,[3]Complaints!$A$4:$AJ$39,7,)</f>
        <v>0</v>
      </c>
      <c r="G516" s="43">
        <f>VLOOKUP($B506,[4]Complaints!$A$4:$AJ$39,7,)</f>
        <v>0</v>
      </c>
      <c r="H516" s="43">
        <f>VLOOKUP($B506,[5]Complaints!$A$4:$AJ$39,7,)</f>
        <v>0</v>
      </c>
      <c r="I516" s="43">
        <f>VLOOKUP($B506,[6]Complaints!$A$4:$AJ$39,7,)</f>
        <v>0</v>
      </c>
      <c r="J516" s="43">
        <f>VLOOKUP($B506,[7]Complaints!$A$4:$AJ$39,7,)</f>
        <v>0</v>
      </c>
      <c r="K516" s="43">
        <f>VLOOKUP($B506,[8]Complaints!$A$4:$AJ$39,7,)</f>
        <v>0</v>
      </c>
      <c r="L516" s="43">
        <f>VLOOKUP($B506,[9]Complaints!$A$4:$AJ$39,7,)</f>
        <v>0</v>
      </c>
      <c r="M516" s="43">
        <f>VLOOKUP($B506,[10]Complaints!$A$4:$AJ$39,7,)</f>
        <v>0</v>
      </c>
      <c r="N516" s="43">
        <f>VLOOKUP($B506,[11]Complaints!$A$4:$AJ$39,7,)</f>
        <v>0</v>
      </c>
      <c r="O516" s="44">
        <f>VLOOKUP($B506,[12]Complaints!$A$4:$AJ$39,7,)</f>
        <v>0</v>
      </c>
      <c r="P516" s="45">
        <f>SUM(D516:O516)</f>
        <v>0</v>
      </c>
      <c r="Q516" s="46" t="str">
        <f>IF(P516=0,"",P516/$P508)</f>
        <v/>
      </c>
      <c r="R516" s="18"/>
    </row>
    <row r="517" spans="2:18" ht="15.75" customHeight="1" x14ac:dyDescent="0.2">
      <c r="B517" s="169"/>
      <c r="C517" s="31" t="s">
        <v>89</v>
      </c>
      <c r="D517" s="47">
        <f>VLOOKUP($B506,[1]Complaints!$A$4:$AJ$39,8,)</f>
        <v>0</v>
      </c>
      <c r="E517" s="48">
        <f>VLOOKUP($B506,[2]Complaints!$A$4:$AJ$39,8,)</f>
        <v>0</v>
      </c>
      <c r="F517" s="48">
        <f>VLOOKUP($B506,[3]Complaints!$A$4:$AJ$39,8,)</f>
        <v>1</v>
      </c>
      <c r="G517" s="48">
        <f>VLOOKUP($B506,[4]Complaints!$A$4:$AJ$39,8,)</f>
        <v>1</v>
      </c>
      <c r="H517" s="48">
        <f>VLOOKUP($B506,[5]Complaints!$A$4:$AJ$39,8,)</f>
        <v>2</v>
      </c>
      <c r="I517" s="48">
        <f>VLOOKUP($B506,[6]Complaints!$A$4:$AJ$39,8,)</f>
        <v>0</v>
      </c>
      <c r="J517" s="48">
        <f>VLOOKUP($B506,[7]Complaints!$A$4:$AJ$39,8,)</f>
        <v>0</v>
      </c>
      <c r="K517" s="48">
        <f>VLOOKUP($B506,[8]Complaints!$A$4:$AJ$39,8,)</f>
        <v>1</v>
      </c>
      <c r="L517" s="48">
        <f>VLOOKUP($B506,[9]Complaints!$A$4:$AJ$39,8,)</f>
        <v>0</v>
      </c>
      <c r="M517" s="48">
        <f>VLOOKUP($B506,[10]Complaints!$A$4:$AJ$39,8,)</f>
        <v>0</v>
      </c>
      <c r="N517" s="48">
        <f>VLOOKUP($B506,[11]Complaints!$A$4:$AJ$39,8,)</f>
        <v>0</v>
      </c>
      <c r="O517" s="49">
        <f>VLOOKUP($B506,[12]Complaints!$A$4:$AJ$39,8,)</f>
        <v>0</v>
      </c>
      <c r="P517" s="55">
        <f t="shared" ref="P517:P518" si="137">SUM(D517:O517)</f>
        <v>5</v>
      </c>
      <c r="Q517" s="50">
        <f>IF(P517="","",P517/$P508)</f>
        <v>0.41666666666666669</v>
      </c>
      <c r="R517" s="18"/>
    </row>
    <row r="518" spans="2:18" ht="15.75" customHeight="1" x14ac:dyDescent="0.2">
      <c r="B518" s="169"/>
      <c r="C518" s="31" t="s">
        <v>88</v>
      </c>
      <c r="D518" s="47">
        <f>VLOOKUP($B506,[1]Complaints!$A$4:$AJ$39,9,)</f>
        <v>0</v>
      </c>
      <c r="E518" s="48">
        <f>VLOOKUP($B506,[2]Complaints!$A$4:$AJ$39,9,)</f>
        <v>0</v>
      </c>
      <c r="F518" s="48">
        <f>VLOOKUP($B506,[3]Complaints!$A$4:$AJ$39,9,)</f>
        <v>0</v>
      </c>
      <c r="G518" s="48">
        <f>VLOOKUP($B506,[4]Complaints!$A$4:$AJ$39,9,)</f>
        <v>0</v>
      </c>
      <c r="H518" s="48">
        <f>VLOOKUP($B506,[5]Complaints!$A$4:$AJ$39,9,)</f>
        <v>0</v>
      </c>
      <c r="I518" s="48">
        <f>VLOOKUP($B506,[6]Complaints!$A$4:$AJ$39,9,)</f>
        <v>0</v>
      </c>
      <c r="J518" s="48">
        <f>VLOOKUP($B506,[7]Complaints!$A$4:$AJ$39,9,)</f>
        <v>0</v>
      </c>
      <c r="K518" s="48">
        <f>VLOOKUP($B506,[8]Complaints!$A$4:$AJ$39,9,)</f>
        <v>0</v>
      </c>
      <c r="L518" s="48">
        <f>VLOOKUP($B506,[9]Complaints!$A$4:$AJ$39,9,)</f>
        <v>0</v>
      </c>
      <c r="M518" s="48">
        <f>VLOOKUP($B506,[10]Complaints!$A$4:$AJ$39,9,)</f>
        <v>0</v>
      </c>
      <c r="N518" s="48">
        <f>VLOOKUP($B506,[11]Complaints!$A$4:$AJ$39,9,)</f>
        <v>0</v>
      </c>
      <c r="O518" s="49">
        <f>VLOOKUP($B506,[12]Complaints!$A$4:$AJ$39,9,)</f>
        <v>0</v>
      </c>
      <c r="P518" s="55">
        <f t="shared" si="137"/>
        <v>0</v>
      </c>
      <c r="Q518" s="50" t="str">
        <f>IF(P518=0,"",P518/$P508)</f>
        <v/>
      </c>
      <c r="R518" s="18"/>
    </row>
    <row r="519" spans="2:18" ht="15.75" customHeight="1" x14ac:dyDescent="0.2">
      <c r="B519" s="169"/>
      <c r="C519" s="31" t="s">
        <v>13</v>
      </c>
      <c r="D519" s="47">
        <f>VLOOKUP($B506,[1]Complaints!$A$4:$AJ$39,10,)</f>
        <v>0</v>
      </c>
      <c r="E519" s="48">
        <f>VLOOKUP($B506,[2]Complaints!$A$4:$AJ$39,10,)</f>
        <v>0</v>
      </c>
      <c r="F519" s="48">
        <f>VLOOKUP($B506,[3]Complaints!$A$4:$AJ$39,10,)</f>
        <v>0</v>
      </c>
      <c r="G519" s="48">
        <f>VLOOKUP($B506,[4]Complaints!$A$4:$AJ$39,10,)</f>
        <v>0</v>
      </c>
      <c r="H519" s="48">
        <f>VLOOKUP($B506,[5]Complaints!$A$4:$AJ$39,10,)</f>
        <v>1</v>
      </c>
      <c r="I519" s="48">
        <f>VLOOKUP($B506,[6]Complaints!$A$4:$AJ$39,10,)</f>
        <v>0</v>
      </c>
      <c r="J519" s="48">
        <f>VLOOKUP($B506,[7]Complaints!$A$4:$AJ$39,10,)</f>
        <v>0</v>
      </c>
      <c r="K519" s="48">
        <f>VLOOKUP($B506,[8]Complaints!$A$4:$AJ$39,10,)</f>
        <v>0</v>
      </c>
      <c r="L519" s="48">
        <f>VLOOKUP($B506,[9]Complaints!$A$4:$AJ$39,10,)</f>
        <v>1</v>
      </c>
      <c r="M519" s="48">
        <f>VLOOKUP($B506,[10]Complaints!$A$4:$AJ$39,10,)</f>
        <v>0</v>
      </c>
      <c r="N519" s="48">
        <f>VLOOKUP($B506,[11]Complaints!$A$4:$AJ$39,10,)</f>
        <v>0</v>
      </c>
      <c r="O519" s="49">
        <f>VLOOKUP($B506,[12]Complaints!$A$4:$AJ$39,10,)</f>
        <v>0</v>
      </c>
      <c r="P519" s="55">
        <f>SUM(D519:O519)</f>
        <v>2</v>
      </c>
      <c r="Q519" s="50">
        <f>IF(P519=0,"",P519/$P508)</f>
        <v>0.16666666666666666</v>
      </c>
      <c r="R519" s="18"/>
    </row>
    <row r="520" spans="2:18" ht="15.75" customHeight="1" x14ac:dyDescent="0.2">
      <c r="B520" s="169"/>
      <c r="C520" s="31" t="s">
        <v>101</v>
      </c>
      <c r="D520" s="47">
        <f>VLOOKUP($B506,[1]Complaints!$A$4:$AJ$39,11,)</f>
        <v>0</v>
      </c>
      <c r="E520" s="48">
        <f>VLOOKUP($B506,[2]Complaints!$A$4:$AJ$39,11,)</f>
        <v>0</v>
      </c>
      <c r="F520" s="48">
        <f>VLOOKUP($B506,[3]Complaints!$A$4:$AJ$39,11,)</f>
        <v>0</v>
      </c>
      <c r="G520" s="48">
        <f>VLOOKUP($B506,[4]Complaints!$A$4:$AJ$39,11,)</f>
        <v>0</v>
      </c>
      <c r="H520" s="48">
        <f>VLOOKUP($B506,[5]Complaints!$A$4:$AJ$39,11,)</f>
        <v>0</v>
      </c>
      <c r="I520" s="48">
        <f>VLOOKUP($B506,[6]Complaints!$A$4:$AJ$39,11,)</f>
        <v>0</v>
      </c>
      <c r="J520" s="48">
        <f>VLOOKUP($B506,[7]Complaints!$A$4:$AJ$39,11,)</f>
        <v>1</v>
      </c>
      <c r="K520" s="48">
        <f>VLOOKUP($B506,[8]Complaints!$A$4:$AJ$39,11,)</f>
        <v>0</v>
      </c>
      <c r="L520" s="48">
        <f>VLOOKUP($B506,[9]Complaints!$A$4:$AJ$39,11,)</f>
        <v>0</v>
      </c>
      <c r="M520" s="48">
        <f>VLOOKUP($B506,[10]Complaints!$A$4:$AJ$39,11,)</f>
        <v>0</v>
      </c>
      <c r="N520" s="48">
        <f>VLOOKUP($B506,[11]Complaints!$A$4:$AJ$39,11,)</f>
        <v>0</v>
      </c>
      <c r="O520" s="49">
        <f>VLOOKUP($B506,[12]Complaints!$A$4:$AJ$39,11,)</f>
        <v>0</v>
      </c>
      <c r="P520" s="55">
        <f t="shared" ref="P520:P529" si="138">SUM(D520:O520)</f>
        <v>1</v>
      </c>
      <c r="Q520" s="50">
        <f>IF(P520=0,"",P520/$P508)</f>
        <v>8.3333333333333329E-2</v>
      </c>
      <c r="R520" s="18"/>
    </row>
    <row r="521" spans="2:18" s="19" customFormat="1" ht="15.75" customHeight="1" x14ac:dyDescent="0.2">
      <c r="B521" s="169"/>
      <c r="C521" s="31" t="s">
        <v>93</v>
      </c>
      <c r="D521" s="47">
        <f>VLOOKUP($B506,[1]Complaints!$A$4:$AJ$39,12,)</f>
        <v>0</v>
      </c>
      <c r="E521" s="48">
        <f>VLOOKUP($B506,[2]Complaints!$A$4:$AJ$39,12,)</f>
        <v>0</v>
      </c>
      <c r="F521" s="48">
        <f>VLOOKUP($B506,[3]Complaints!$A$4:$AJ$39,12,)</f>
        <v>0</v>
      </c>
      <c r="G521" s="48">
        <f>VLOOKUP($B506,[4]Complaints!$A$4:$AJ$39,12,)</f>
        <v>0</v>
      </c>
      <c r="H521" s="48">
        <f>VLOOKUP($B506,[5]Complaints!$A$4:$AJ$39,12,)</f>
        <v>0</v>
      </c>
      <c r="I521" s="48">
        <f>VLOOKUP($B506,[6]Complaints!$A$4:$AJ$39,12,)</f>
        <v>0</v>
      </c>
      <c r="J521" s="48">
        <f>VLOOKUP($B506,[7]Complaints!$A$4:$AJ$39,12,)</f>
        <v>0</v>
      </c>
      <c r="K521" s="48">
        <f>VLOOKUP($B506,[8]Complaints!$A$4:$AJ$39,12,)</f>
        <v>0</v>
      </c>
      <c r="L521" s="48">
        <f>VLOOKUP($B506,[9]Complaints!$A$4:$AJ$39,12,)</f>
        <v>0</v>
      </c>
      <c r="M521" s="48">
        <f>VLOOKUP($B506,[10]Complaints!$A$4:$AJ$39,12,)</f>
        <v>0</v>
      </c>
      <c r="N521" s="48">
        <f>VLOOKUP($B506,[11]Complaints!$A$4:$AJ$39,12,)</f>
        <v>0</v>
      </c>
      <c r="O521" s="49">
        <f>VLOOKUP($B506,[12]Complaints!$A$4:$AJ$39,12,)</f>
        <v>0</v>
      </c>
      <c r="P521" s="55">
        <f t="shared" si="138"/>
        <v>0</v>
      </c>
      <c r="Q521" s="50" t="str">
        <f>IF(P521=0,"",P521/$P508)</f>
        <v/>
      </c>
    </row>
    <row r="522" spans="2:18" ht="15.75" customHeight="1" x14ac:dyDescent="0.2">
      <c r="B522" s="169"/>
      <c r="C522" s="31" t="s">
        <v>78</v>
      </c>
      <c r="D522" s="47">
        <f>VLOOKUP($B506,[1]Complaints!$A$4:$AJ$39,13,)</f>
        <v>0</v>
      </c>
      <c r="E522" s="48">
        <f>VLOOKUP($B506,[2]Complaints!$A$4:$AJ$39,13,)</f>
        <v>0</v>
      </c>
      <c r="F522" s="48">
        <f>VLOOKUP($B506,[3]Complaints!$A$4:$AJ$39,13,)</f>
        <v>0</v>
      </c>
      <c r="G522" s="48">
        <f>VLOOKUP($B506,[4]Complaints!$A$4:$AJ$39,13,)</f>
        <v>0</v>
      </c>
      <c r="H522" s="48">
        <f>VLOOKUP($B506,[5]Complaints!$A$4:$AJ$39,13,)</f>
        <v>0</v>
      </c>
      <c r="I522" s="48">
        <f>VLOOKUP($B506,[6]Complaints!$A$4:$AJ$39,13,)</f>
        <v>1</v>
      </c>
      <c r="J522" s="48">
        <f>VLOOKUP($B506,[7]Complaints!$A$4:$AJ$39,13,)</f>
        <v>0</v>
      </c>
      <c r="K522" s="48">
        <f>VLOOKUP($B506,[8]Complaints!$A$4:$AJ$39,13,)</f>
        <v>0</v>
      </c>
      <c r="L522" s="48">
        <f>VLOOKUP($B506,[9]Complaints!$A$4:$AJ$39,13,)</f>
        <v>0</v>
      </c>
      <c r="M522" s="48">
        <f>VLOOKUP($B506,[10]Complaints!$A$4:$AJ$39,13,)</f>
        <v>0</v>
      </c>
      <c r="N522" s="48">
        <f>VLOOKUP($B506,[11]Complaints!$A$4:$AJ$39,13,)</f>
        <v>0</v>
      </c>
      <c r="O522" s="49">
        <f>VLOOKUP($B506,[12]Complaints!$A$4:$AJ$39,13,)</f>
        <v>0</v>
      </c>
      <c r="P522" s="55">
        <f t="shared" si="138"/>
        <v>1</v>
      </c>
      <c r="Q522" s="50">
        <f>IF(P522=0,"",P522/$P508)</f>
        <v>8.3333333333333329E-2</v>
      </c>
      <c r="R522" s="18"/>
    </row>
    <row r="523" spans="2:18" ht="15.75" customHeight="1" x14ac:dyDescent="0.2">
      <c r="B523" s="169"/>
      <c r="C523" s="31" t="s">
        <v>92</v>
      </c>
      <c r="D523" s="47">
        <f>VLOOKUP($B506,[1]Complaints!$A$4:$AJ$39,14,)</f>
        <v>0</v>
      </c>
      <c r="E523" s="48">
        <f>VLOOKUP($B506,[2]Complaints!$A$4:$AJ$39,14,)</f>
        <v>0</v>
      </c>
      <c r="F523" s="48">
        <f>VLOOKUP($B506,[3]Complaints!$A$4:$AJ$39,14,)</f>
        <v>0</v>
      </c>
      <c r="G523" s="48">
        <f>VLOOKUP($B506,[4]Complaints!$A$4:$AJ$39,14,)</f>
        <v>0</v>
      </c>
      <c r="H523" s="48">
        <f>VLOOKUP($B506,[5]Complaints!$A$4:$AJ$39,14,)</f>
        <v>0</v>
      </c>
      <c r="I523" s="48">
        <f>VLOOKUP($B506,[6]Complaints!$A$4:$AJ$39,14,)</f>
        <v>0</v>
      </c>
      <c r="J523" s="48">
        <f>VLOOKUP($B506,[7]Complaints!$A$4:$AJ$39,14,)</f>
        <v>0</v>
      </c>
      <c r="K523" s="48">
        <f>VLOOKUP($B506,[8]Complaints!$A$4:$AJ$39,14,)</f>
        <v>0</v>
      </c>
      <c r="L523" s="48">
        <f>VLOOKUP($B506,[9]Complaints!$A$4:$AJ$39,14,)</f>
        <v>0</v>
      </c>
      <c r="M523" s="48">
        <f>VLOOKUP($B506,[10]Complaints!$A$4:$AJ$39,14,)</f>
        <v>0</v>
      </c>
      <c r="N523" s="48">
        <f>VLOOKUP($B506,[11]Complaints!$A$4:$AJ$39,14,)</f>
        <v>0</v>
      </c>
      <c r="O523" s="49">
        <f>VLOOKUP($B506,[12]Complaints!$A$4:$AJ$39,14,)</f>
        <v>0</v>
      </c>
      <c r="P523" s="55">
        <f t="shared" si="138"/>
        <v>0</v>
      </c>
      <c r="Q523" s="50" t="str">
        <f>IF(P523=0,"",P523/$P508)</f>
        <v/>
      </c>
      <c r="R523" s="18"/>
    </row>
    <row r="524" spans="2:18" ht="15.75" customHeight="1" x14ac:dyDescent="0.2">
      <c r="B524" s="169"/>
      <c r="C524" s="31" t="s">
        <v>91</v>
      </c>
      <c r="D524" s="47">
        <f>VLOOKUP($B506,[1]Complaints!$A$4:$AJ$39,15,)</f>
        <v>0</v>
      </c>
      <c r="E524" s="48">
        <f>VLOOKUP($B506,[2]Complaints!$A$4:$AJ$39,15,)</f>
        <v>0</v>
      </c>
      <c r="F524" s="48">
        <f>VLOOKUP($B506,[3]Complaints!$A$4:$AJ$39,15,)</f>
        <v>0</v>
      </c>
      <c r="G524" s="48">
        <f>VLOOKUP($B506,[4]Complaints!$A$4:$AJ$39,15,)</f>
        <v>0</v>
      </c>
      <c r="H524" s="48">
        <f>VLOOKUP($B506,[5]Complaints!$A$4:$AJ$39,15,)</f>
        <v>0</v>
      </c>
      <c r="I524" s="48">
        <f>VLOOKUP($B506,[6]Complaints!$A$4:$AJ$39,15,)</f>
        <v>0</v>
      </c>
      <c r="J524" s="48">
        <f>VLOOKUP($B506,[7]Complaints!$A$4:$AJ$39,15,)</f>
        <v>1</v>
      </c>
      <c r="K524" s="48">
        <f>VLOOKUP($B506,[8]Complaints!$A$4:$AJ$39,15,)</f>
        <v>0</v>
      </c>
      <c r="L524" s="48">
        <f>VLOOKUP($B506,[9]Complaints!$A$4:$AJ$39,15,)</f>
        <v>0</v>
      </c>
      <c r="M524" s="48">
        <f>VLOOKUP($B506,[10]Complaints!$A$4:$AJ$39,15,)</f>
        <v>0</v>
      </c>
      <c r="N524" s="48">
        <f>VLOOKUP($B506,[11]Complaints!$A$4:$AJ$39,15,)</f>
        <v>0</v>
      </c>
      <c r="O524" s="49">
        <f>VLOOKUP($B506,[12]Complaints!$A$4:$AJ$39,15,)</f>
        <v>0</v>
      </c>
      <c r="P524" s="55">
        <f t="shared" si="138"/>
        <v>1</v>
      </c>
      <c r="Q524" s="50">
        <f>IF(P524=0,"",P524/$P508)</f>
        <v>8.3333333333333329E-2</v>
      </c>
      <c r="R524" s="18"/>
    </row>
    <row r="525" spans="2:18" ht="15.75" customHeight="1" x14ac:dyDescent="0.2">
      <c r="B525" s="169"/>
      <c r="C525" s="31" t="s">
        <v>79</v>
      </c>
      <c r="D525" s="47">
        <f>VLOOKUP($B506,[1]Complaints!$A$4:$AJ$39,16,)</f>
        <v>0</v>
      </c>
      <c r="E525" s="48">
        <f>VLOOKUP($B506,[2]Complaints!$A$4:$AJ$39,16,)</f>
        <v>0</v>
      </c>
      <c r="F525" s="48">
        <f>VLOOKUP($B506,[3]Complaints!$A$4:$AJ$39,16,)</f>
        <v>0</v>
      </c>
      <c r="G525" s="48">
        <f>VLOOKUP($B506,[4]Complaints!$A$4:$AJ$39,16,)</f>
        <v>0</v>
      </c>
      <c r="H525" s="48">
        <f>VLOOKUP($B506,[5]Complaints!$A$4:$AJ$39,16,)</f>
        <v>0</v>
      </c>
      <c r="I525" s="48">
        <f>VLOOKUP($B506,[6]Complaints!$A$4:$AJ$39,16,)</f>
        <v>0</v>
      </c>
      <c r="J525" s="48">
        <f>VLOOKUP($B506,[7]Complaints!$A$4:$AJ$39,16,)</f>
        <v>0</v>
      </c>
      <c r="K525" s="48">
        <f>VLOOKUP($B506,[8]Complaints!$A$4:$AJ$39,16,)</f>
        <v>0</v>
      </c>
      <c r="L525" s="48">
        <f>VLOOKUP($B506,[9]Complaints!$A$4:$AJ$39,16,)</f>
        <v>0</v>
      </c>
      <c r="M525" s="48">
        <f>VLOOKUP($B506,[10]Complaints!$A$4:$AJ$39,16,)</f>
        <v>0</v>
      </c>
      <c r="N525" s="48">
        <f>VLOOKUP($B506,[11]Complaints!$A$4:$AJ$39,16,)</f>
        <v>0</v>
      </c>
      <c r="O525" s="49">
        <f>VLOOKUP($B506,[12]Complaints!$A$4:$AJ$39,16,)</f>
        <v>0</v>
      </c>
      <c r="P525" s="55">
        <f t="shared" si="138"/>
        <v>0</v>
      </c>
      <c r="Q525" s="50" t="str">
        <f>IF(P525=0,"",P525/$P508)</f>
        <v/>
      </c>
      <c r="R525" s="18"/>
    </row>
    <row r="526" spans="2:18" ht="15.75" customHeight="1" x14ac:dyDescent="0.2">
      <c r="B526" s="169"/>
      <c r="C526" s="31" t="s">
        <v>80</v>
      </c>
      <c r="D526" s="47">
        <f>VLOOKUP($B506,[1]Complaints!$A$4:$AJ$39,17,)</f>
        <v>0</v>
      </c>
      <c r="E526" s="48">
        <f>VLOOKUP($B506,[2]Complaints!$A$4:$AJ$39,17,)</f>
        <v>0</v>
      </c>
      <c r="F526" s="48">
        <f>VLOOKUP($B506,[3]Complaints!$A$4:$AJ$39,17,)</f>
        <v>0</v>
      </c>
      <c r="G526" s="48">
        <f>VLOOKUP($B506,[4]Complaints!$A$4:$AJ$39,17,)</f>
        <v>0</v>
      </c>
      <c r="H526" s="48">
        <f>VLOOKUP($B506,[5]Complaints!$A$4:$AJ$39,17,)</f>
        <v>0</v>
      </c>
      <c r="I526" s="48">
        <f>VLOOKUP($B506,[6]Complaints!$A$4:$AJ$39,17,)</f>
        <v>0</v>
      </c>
      <c r="J526" s="48">
        <f>VLOOKUP($B506,[7]Complaints!$A$4:$AJ$39,17,)</f>
        <v>0</v>
      </c>
      <c r="K526" s="48">
        <f>VLOOKUP($B506,[8]Complaints!$A$4:$AJ$39,17,)</f>
        <v>0</v>
      </c>
      <c r="L526" s="48">
        <f>VLOOKUP($B506,[9]Complaints!$A$4:$AJ$39,17,)</f>
        <v>0</v>
      </c>
      <c r="M526" s="48">
        <f>VLOOKUP($B506,[10]Complaints!$A$4:$AJ$39,17,)</f>
        <v>0</v>
      </c>
      <c r="N526" s="48">
        <f>VLOOKUP($B506,[11]Complaints!$A$4:$AJ$39,17,)</f>
        <v>0</v>
      </c>
      <c r="O526" s="49">
        <f>VLOOKUP($B506,[12]Complaints!$A$4:$AJ$39,17,)</f>
        <v>0</v>
      </c>
      <c r="P526" s="55">
        <f t="shared" si="138"/>
        <v>0</v>
      </c>
      <c r="Q526" s="50" t="str">
        <f>IF(P526=0,"",P526/$P508)</f>
        <v/>
      </c>
      <c r="R526" s="18"/>
    </row>
    <row r="527" spans="2:18" ht="15.75" customHeight="1" x14ac:dyDescent="0.2">
      <c r="B527" s="169"/>
      <c r="C527" s="31" t="s">
        <v>81</v>
      </c>
      <c r="D527" s="47">
        <f>VLOOKUP($B506,[1]Complaints!$A$4:$AJ$39,18,)</f>
        <v>0</v>
      </c>
      <c r="E527" s="48">
        <f>VLOOKUP($B506,[2]Complaints!$A$4:$AJ$39,18,)</f>
        <v>0</v>
      </c>
      <c r="F527" s="48">
        <f>VLOOKUP($B506,[3]Complaints!$A$4:$AJ$39,18,)</f>
        <v>0</v>
      </c>
      <c r="G527" s="48">
        <f>VLOOKUP($B506,[4]Complaints!$A$4:$AJ$39,18,)</f>
        <v>0</v>
      </c>
      <c r="H527" s="48">
        <f>VLOOKUP($B506,[5]Complaints!$A$4:$AJ$39,18,)</f>
        <v>0</v>
      </c>
      <c r="I527" s="48">
        <f>VLOOKUP($B506,[6]Complaints!$A$4:$AJ$39,18,)</f>
        <v>0</v>
      </c>
      <c r="J527" s="48">
        <f>VLOOKUP($B506,[7]Complaints!$A$4:$AJ$39,18,)</f>
        <v>0</v>
      </c>
      <c r="K527" s="48">
        <f>VLOOKUP($B506,[8]Complaints!$A$4:$AJ$39,18,)</f>
        <v>0</v>
      </c>
      <c r="L527" s="48">
        <f>VLOOKUP($B506,[9]Complaints!$A$4:$AJ$39,18,)</f>
        <v>0</v>
      </c>
      <c r="M527" s="48">
        <f>VLOOKUP($B506,[10]Complaints!$A$4:$AJ$39,18,)</f>
        <v>0</v>
      </c>
      <c r="N527" s="48">
        <f>VLOOKUP($B506,[11]Complaints!$A$4:$AJ$39,18,)</f>
        <v>0</v>
      </c>
      <c r="O527" s="49">
        <f>VLOOKUP($B506,[12]Complaints!$A$4:$AJ$39,18,)</f>
        <v>0</v>
      </c>
      <c r="P527" s="55">
        <f t="shared" si="138"/>
        <v>0</v>
      </c>
      <c r="Q527" s="50" t="str">
        <f>IF(P527=0,"",P527/$P508)</f>
        <v/>
      </c>
      <c r="R527" s="18"/>
    </row>
    <row r="528" spans="2:18" ht="15.75" customHeight="1" x14ac:dyDescent="0.2">
      <c r="B528" s="169"/>
      <c r="C528" s="31" t="s">
        <v>82</v>
      </c>
      <c r="D528" s="47">
        <f>VLOOKUP($B506,[1]Complaints!$A$4:$AJ$39,19,)</f>
        <v>0</v>
      </c>
      <c r="E528" s="48">
        <f>VLOOKUP($B506,[2]Complaints!$A$4:$AJ$39,19,)</f>
        <v>0</v>
      </c>
      <c r="F528" s="48">
        <f>VLOOKUP($B506,[3]Complaints!$A$4:$AJ$39,19,)</f>
        <v>0</v>
      </c>
      <c r="G528" s="48">
        <f>VLOOKUP($B506,[4]Complaints!$A$4:$AJ$39,19,)</f>
        <v>0</v>
      </c>
      <c r="H528" s="48">
        <f>VLOOKUP($B506,[5]Complaints!$A$4:$AJ$39,19,)</f>
        <v>1</v>
      </c>
      <c r="I528" s="48">
        <f>VLOOKUP($B506,[6]Complaints!$A$4:$AJ$39,19,)</f>
        <v>0</v>
      </c>
      <c r="J528" s="48">
        <f>VLOOKUP($B506,[7]Complaints!$A$4:$AJ$39,19,)</f>
        <v>0</v>
      </c>
      <c r="K528" s="48">
        <f>VLOOKUP($B506,[8]Complaints!$A$4:$AJ$39,19,)</f>
        <v>0</v>
      </c>
      <c r="L528" s="48">
        <f>VLOOKUP($B506,[9]Complaints!$A$4:$AJ$39,19,)</f>
        <v>0</v>
      </c>
      <c r="M528" s="48">
        <f>VLOOKUP($B506,[10]Complaints!$A$4:$AJ$39,19,)</f>
        <v>0</v>
      </c>
      <c r="N528" s="48">
        <f>VLOOKUP($B506,[11]Complaints!$A$4:$AJ$39,19,)</f>
        <v>0</v>
      </c>
      <c r="O528" s="49">
        <f>VLOOKUP($B506,[12]Complaints!$A$4:$AJ$39,19,)</f>
        <v>0</v>
      </c>
      <c r="P528" s="55">
        <f t="shared" si="138"/>
        <v>1</v>
      </c>
      <c r="Q528" s="50">
        <f>IF(P528=0,"",P528/$P508)</f>
        <v>8.3333333333333329E-2</v>
      </c>
      <c r="R528" s="18"/>
    </row>
    <row r="529" spans="1:19" ht="15.75" customHeight="1" thickBot="1" x14ac:dyDescent="0.25">
      <c r="B529" s="170"/>
      <c r="C529" s="31" t="s">
        <v>83</v>
      </c>
      <c r="D529" s="47">
        <f>VLOOKUP($B506,[1]Complaints!$A$4:$AJ$39,20,)</f>
        <v>0</v>
      </c>
      <c r="E529" s="48">
        <f>VLOOKUP($B506,[2]Complaints!$A$4:$AJ$39,20,)</f>
        <v>0</v>
      </c>
      <c r="F529" s="48">
        <f>VLOOKUP($B506,[3]Complaints!$A$4:$AJ$39,20,)</f>
        <v>0</v>
      </c>
      <c r="G529" s="48">
        <f>VLOOKUP($B506,[4]Complaints!$A$4:$AJ$39,20,)</f>
        <v>0</v>
      </c>
      <c r="H529" s="48">
        <f>VLOOKUP($B506,[5]Complaints!$A$4:$AJ$39,20,)</f>
        <v>0</v>
      </c>
      <c r="I529" s="48">
        <f>VLOOKUP($B506,[6]Complaints!$A$4:$AJ$39,20,)</f>
        <v>0</v>
      </c>
      <c r="J529" s="48">
        <f>VLOOKUP($B506,[7]Complaints!$A$4:$AJ$39,20,)</f>
        <v>0</v>
      </c>
      <c r="K529" s="48">
        <f>VLOOKUP($B506,[8]Complaints!$A$4:$AJ$39,20,)</f>
        <v>0</v>
      </c>
      <c r="L529" s="48">
        <f>VLOOKUP($B506,[9]Complaints!$A$4:$AJ$39,20,)</f>
        <v>0</v>
      </c>
      <c r="M529" s="48">
        <f>VLOOKUP($B506,[10]Complaints!$A$4:$AJ$39,20,)</f>
        <v>0</v>
      </c>
      <c r="N529" s="48">
        <f>VLOOKUP($B506,[11]Complaints!$A$4:$AJ$39,20,)</f>
        <v>0</v>
      </c>
      <c r="O529" s="49">
        <f>VLOOKUP($B506,[12]Complaints!$A$4:$AJ$39,20,)</f>
        <v>0</v>
      </c>
      <c r="P529" s="55">
        <f t="shared" si="138"/>
        <v>0</v>
      </c>
      <c r="Q529" s="50" t="str">
        <f>IF(P529=0,"",P529/$P508)</f>
        <v/>
      </c>
      <c r="R529" s="18"/>
    </row>
    <row r="530" spans="1:19" ht="15.75" customHeight="1" x14ac:dyDescent="0.2">
      <c r="B530" s="144" t="s">
        <v>90</v>
      </c>
      <c r="C530" s="37" t="s">
        <v>118</v>
      </c>
      <c r="D530" s="62">
        <f>VLOOKUP($B506,[1]Complaints!$A$4:$AJ$39,21,)</f>
        <v>0</v>
      </c>
      <c r="E530" s="63">
        <f>VLOOKUP($B506,[2]Complaints!$A$4:$AJ$39,21,)</f>
        <v>0</v>
      </c>
      <c r="F530" s="63">
        <f>VLOOKUP($B506,[3]Complaints!$A$4:$AJ$39,21,)</f>
        <v>1</v>
      </c>
      <c r="G530" s="63">
        <f>VLOOKUP($B506,[4]Complaints!$A$4:$AJ$39,21,)</f>
        <v>1</v>
      </c>
      <c r="H530" s="63">
        <f>VLOOKUP($B506,[5]Complaints!$A$4:$AJ$39,21,)</f>
        <v>2</v>
      </c>
      <c r="I530" s="63">
        <f>VLOOKUP($B506,[6]Complaints!$A$4:$AJ$39,21,)</f>
        <v>1</v>
      </c>
      <c r="J530" s="63">
        <f>VLOOKUP($B506,[7]Complaints!$A$4:$AJ$39,21,)</f>
        <v>1</v>
      </c>
      <c r="K530" s="63">
        <f>VLOOKUP($B506,[8]Complaints!$A$4:$AJ$39,21,)</f>
        <v>1</v>
      </c>
      <c r="L530" s="63">
        <f>VLOOKUP($B506,[9]Complaints!$A$4:$AJ$39,21,)</f>
        <v>1</v>
      </c>
      <c r="M530" s="63">
        <f>VLOOKUP($B506,[10]Complaints!$A$4:$AJ$39,21,)</f>
        <v>0</v>
      </c>
      <c r="N530" s="63">
        <f>VLOOKUP($B506,[11]Complaints!$A$4:$AJ$39,21,)</f>
        <v>0</v>
      </c>
      <c r="O530" s="64">
        <f>VLOOKUP($B506,[12]Complaints!$A$4:$AJ$39,21,)</f>
        <v>0</v>
      </c>
      <c r="P530" s="65">
        <f>SUM(D530:O530)</f>
        <v>8</v>
      </c>
      <c r="Q530" s="46">
        <f>IF(P530=0,"",P530/$P514)</f>
        <v>1</v>
      </c>
      <c r="R530" s="18"/>
    </row>
    <row r="531" spans="1:19" ht="15.75" customHeight="1" x14ac:dyDescent="0.2">
      <c r="B531" s="145"/>
      <c r="C531" s="38" t="s">
        <v>77</v>
      </c>
      <c r="D531" s="66">
        <f>VLOOKUP($B506,[1]Complaints!$A$4:$AJ$39,22,)</f>
        <v>0</v>
      </c>
      <c r="E531" s="67">
        <f>VLOOKUP($B506,[2]Complaints!$A$4:$AJ$39,22,)</f>
        <v>0</v>
      </c>
      <c r="F531" s="67">
        <f>VLOOKUP($B506,[3]Complaints!$A$4:$AJ$39,22,)</f>
        <v>0</v>
      </c>
      <c r="G531" s="67">
        <f>VLOOKUP($B506,[4]Complaints!$A$4:$AJ$39,22,)</f>
        <v>0</v>
      </c>
      <c r="H531" s="67">
        <f>VLOOKUP($B506,[5]Complaints!$A$4:$AJ$39,22,)</f>
        <v>0</v>
      </c>
      <c r="I531" s="67">
        <f>VLOOKUP($B506,[6]Complaints!$A$4:$AJ$39,22,)</f>
        <v>0</v>
      </c>
      <c r="J531" s="67">
        <f>VLOOKUP($B506,[7]Complaints!$A$4:$AJ$39,22,)</f>
        <v>0</v>
      </c>
      <c r="K531" s="67">
        <f>VLOOKUP($B506,[8]Complaints!$A$4:$AJ$39,22,)</f>
        <v>0</v>
      </c>
      <c r="L531" s="67">
        <f>VLOOKUP($B506,[9]Complaints!$A$4:$AJ$39,22,)</f>
        <v>0</v>
      </c>
      <c r="M531" s="67">
        <f>VLOOKUP($B506,[10]Complaints!$A$4:$AJ$39,22,)</f>
        <v>0</v>
      </c>
      <c r="N531" s="67">
        <f>VLOOKUP($B506,[11]Complaints!$A$4:$AJ$39,22,)</f>
        <v>0</v>
      </c>
      <c r="O531" s="68">
        <f>VLOOKUP($B506,[12]Complaints!$A$4:$AJ$39,22,)</f>
        <v>0</v>
      </c>
      <c r="P531" s="69">
        <f t="shared" ref="P531:P545" si="139">SUM(D531:O531)</f>
        <v>0</v>
      </c>
      <c r="Q531" s="70" t="str">
        <f>IF(P531=0,"",P531/$P514)</f>
        <v/>
      </c>
      <c r="R531" s="18"/>
    </row>
    <row r="532" spans="1:19" ht="15.75" customHeight="1" x14ac:dyDescent="0.2">
      <c r="B532" s="145"/>
      <c r="C532" s="38" t="s">
        <v>108</v>
      </c>
      <c r="D532" s="66">
        <f>VLOOKUP($B506,[1]Complaints!$A$4:$AJ$39,23,)</f>
        <v>0</v>
      </c>
      <c r="E532" s="67">
        <f>VLOOKUP($B506,[2]Complaints!$A$4:$AJ$39,23,)</f>
        <v>0</v>
      </c>
      <c r="F532" s="67">
        <f>VLOOKUP($B506,[3]Complaints!$A$4:$AJ$39,23,)</f>
        <v>1</v>
      </c>
      <c r="G532" s="67">
        <f>VLOOKUP($B506,[4]Complaints!$A$4:$AJ$39,23,)</f>
        <v>1</v>
      </c>
      <c r="H532" s="67">
        <f>VLOOKUP($B506,[5]Complaints!$A$4:$AJ$39,23,)</f>
        <v>1</v>
      </c>
      <c r="I532" s="67">
        <f>VLOOKUP($B506,[6]Complaints!$A$4:$AJ$39,23,)</f>
        <v>0</v>
      </c>
      <c r="J532" s="67">
        <f>VLOOKUP($B506,[7]Complaints!$A$4:$AJ$39,23,)</f>
        <v>0</v>
      </c>
      <c r="K532" s="67">
        <f>VLOOKUP($B506,[8]Complaints!$A$4:$AJ$39,23,)</f>
        <v>0</v>
      </c>
      <c r="L532" s="67">
        <f>VLOOKUP($B506,[9]Complaints!$A$4:$AJ$39,23,)</f>
        <v>0</v>
      </c>
      <c r="M532" s="67">
        <f>VLOOKUP($B506,[10]Complaints!$A$4:$AJ$39,23,)</f>
        <v>0</v>
      </c>
      <c r="N532" s="67">
        <f>VLOOKUP($B506,[11]Complaints!$A$4:$AJ$39,23,)</f>
        <v>0</v>
      </c>
      <c r="O532" s="68">
        <f>VLOOKUP($B506,[12]Complaints!$A$4:$AJ$39,23,)</f>
        <v>0</v>
      </c>
      <c r="P532" s="69">
        <f t="shared" si="139"/>
        <v>3</v>
      </c>
      <c r="Q532" s="70">
        <f>IF(P532=0,"",P532/$P514)</f>
        <v>0.375</v>
      </c>
      <c r="R532" s="18"/>
    </row>
    <row r="533" spans="1:19" ht="15.75" customHeight="1" x14ac:dyDescent="0.2">
      <c r="B533" s="145"/>
      <c r="C533" s="38" t="s">
        <v>88</v>
      </c>
      <c r="D533" s="66">
        <f>VLOOKUP($B506,[1]Complaints!$A$4:$AJ$39,24,)</f>
        <v>0</v>
      </c>
      <c r="E533" s="67">
        <f>VLOOKUP($B506,[2]Complaints!$A$4:$AJ$39,24,)</f>
        <v>0</v>
      </c>
      <c r="F533" s="67">
        <f>VLOOKUP($B506,[3]Complaints!$A$4:$AJ$39,24,)</f>
        <v>0</v>
      </c>
      <c r="G533" s="67">
        <f>VLOOKUP($B506,[4]Complaints!$A$4:$AJ$39,24,)</f>
        <v>0</v>
      </c>
      <c r="H533" s="67">
        <f>VLOOKUP($B506,[5]Complaints!$A$4:$AJ$39,24,)</f>
        <v>0</v>
      </c>
      <c r="I533" s="67">
        <f>VLOOKUP($B506,[6]Complaints!$A$4:$AJ$39,24,)</f>
        <v>0</v>
      </c>
      <c r="J533" s="67">
        <f>VLOOKUP($B506,[7]Complaints!$A$4:$AJ$39,24,)</f>
        <v>0</v>
      </c>
      <c r="K533" s="67">
        <f>VLOOKUP($B506,[8]Complaints!$A$4:$AJ$39,24,)</f>
        <v>0</v>
      </c>
      <c r="L533" s="67">
        <f>VLOOKUP($B506,[9]Complaints!$A$4:$AJ$39,24,)</f>
        <v>0</v>
      </c>
      <c r="M533" s="67">
        <f>VLOOKUP($B506,[10]Complaints!$A$4:$AJ$39,24,)</f>
        <v>0</v>
      </c>
      <c r="N533" s="67">
        <f>VLOOKUP($B506,[11]Complaints!$A$4:$AJ$39,24,)</f>
        <v>0</v>
      </c>
      <c r="O533" s="68">
        <f>VLOOKUP($B506,[12]Complaints!$A$4:$AJ$39,24,)</f>
        <v>0</v>
      </c>
      <c r="P533" s="69">
        <f t="shared" si="139"/>
        <v>0</v>
      </c>
      <c r="Q533" s="70" t="str">
        <f>IF(P533=0,"",P533/$P514)</f>
        <v/>
      </c>
      <c r="R533" s="18"/>
    </row>
    <row r="534" spans="1:19" ht="15.75" customHeight="1" x14ac:dyDescent="0.2">
      <c r="B534" s="145"/>
      <c r="C534" s="38" t="s">
        <v>109</v>
      </c>
      <c r="D534" s="66">
        <f>VLOOKUP($B506,[1]Complaints!$A$4:$AJ$39,25,)</f>
        <v>0</v>
      </c>
      <c r="E534" s="67">
        <f>VLOOKUP($B506,[2]Complaints!$A$4:$AJ$39,25,)</f>
        <v>0</v>
      </c>
      <c r="F534" s="67">
        <f>VLOOKUP($B506,[3]Complaints!$A$4:$AJ$39,25,)</f>
        <v>0</v>
      </c>
      <c r="G534" s="67">
        <f>VLOOKUP($B506,[4]Complaints!$A$4:$AJ$39,25,)</f>
        <v>0</v>
      </c>
      <c r="H534" s="67">
        <f>VLOOKUP($B506,[5]Complaints!$A$4:$AJ$39,25,)</f>
        <v>0</v>
      </c>
      <c r="I534" s="67">
        <f>VLOOKUP($B506,[6]Complaints!$A$4:$AJ$39,25,)</f>
        <v>0</v>
      </c>
      <c r="J534" s="67">
        <f>VLOOKUP($B506,[7]Complaints!$A$4:$AJ$39,25,)</f>
        <v>0</v>
      </c>
      <c r="K534" s="67">
        <f>VLOOKUP($B506,[8]Complaints!$A$4:$AJ$39,25,)</f>
        <v>0</v>
      </c>
      <c r="L534" s="67">
        <f>VLOOKUP($B506,[9]Complaints!$A$4:$AJ$39,25,)</f>
        <v>1</v>
      </c>
      <c r="M534" s="67">
        <f>VLOOKUP($B506,[10]Complaints!$A$4:$AJ$39,25,)</f>
        <v>0</v>
      </c>
      <c r="N534" s="67">
        <f>VLOOKUP($B506,[11]Complaints!$A$4:$AJ$39,25,)</f>
        <v>0</v>
      </c>
      <c r="O534" s="68">
        <f>VLOOKUP($B506,[12]Complaints!$A$4:$AJ$39,25,)</f>
        <v>0</v>
      </c>
      <c r="P534" s="69">
        <f t="shared" si="139"/>
        <v>1</v>
      </c>
      <c r="Q534" s="70">
        <f>IF(P534=0,"",P534/$P514)</f>
        <v>0.125</v>
      </c>
      <c r="R534" s="18"/>
    </row>
    <row r="535" spans="1:19" ht="15.75" customHeight="1" x14ac:dyDescent="0.2">
      <c r="A535" s="21"/>
      <c r="B535" s="145"/>
      <c r="C535" s="38" t="s">
        <v>110</v>
      </c>
      <c r="D535" s="66">
        <f>VLOOKUP($B506,[1]Complaints!$A$4:$AJ$39,26,)</f>
        <v>0</v>
      </c>
      <c r="E535" s="67">
        <f>VLOOKUP($B506,[2]Complaints!$A$4:$AJ$39,26,)</f>
        <v>0</v>
      </c>
      <c r="F535" s="67">
        <f>VLOOKUP($B506,[3]Complaints!$A$4:$AJ$39,26,)</f>
        <v>0</v>
      </c>
      <c r="G535" s="67">
        <f>VLOOKUP($B506,[4]Complaints!$A$4:$AJ$39,26,)</f>
        <v>0</v>
      </c>
      <c r="H535" s="67">
        <f>VLOOKUP($B506,[5]Complaints!$A$4:$AJ$39,26,)</f>
        <v>1</v>
      </c>
      <c r="I535" s="67">
        <f>VLOOKUP($B506,[6]Complaints!$A$4:$AJ$39,26,)</f>
        <v>0</v>
      </c>
      <c r="J535" s="67">
        <f>VLOOKUP($B506,[7]Complaints!$A$4:$AJ$39,26,)</f>
        <v>1</v>
      </c>
      <c r="K535" s="67">
        <f>VLOOKUP($B506,[8]Complaints!$A$4:$AJ$39,26,)</f>
        <v>1</v>
      </c>
      <c r="L535" s="67">
        <f>VLOOKUP($B506,[9]Complaints!$A$4:$AJ$39,26,)</f>
        <v>0</v>
      </c>
      <c r="M535" s="67">
        <f>VLOOKUP($B506,[10]Complaints!$A$4:$AJ$39,26,)</f>
        <v>0</v>
      </c>
      <c r="N535" s="67">
        <f>VLOOKUP($B506,[11]Complaints!$A$4:$AJ$39,26,)</f>
        <v>0</v>
      </c>
      <c r="O535" s="68">
        <f>VLOOKUP($B506,[12]Complaints!$A$4:$AJ$39,26,)</f>
        <v>0</v>
      </c>
      <c r="P535" s="69">
        <f t="shared" si="139"/>
        <v>3</v>
      </c>
      <c r="Q535" s="70">
        <f>IF(P535=0,"",P535/$P514)</f>
        <v>0.375</v>
      </c>
      <c r="R535" s="18"/>
    </row>
    <row r="536" spans="1:19" s="21" customFormat="1" ht="15.75" customHeight="1" x14ac:dyDescent="0.2">
      <c r="B536" s="145"/>
      <c r="C536" s="39" t="s">
        <v>107</v>
      </c>
      <c r="D536" s="71">
        <f>VLOOKUP($B506,[1]Complaints!$A$4:$AJ$39,27,)</f>
        <v>0</v>
      </c>
      <c r="E536" s="72">
        <f>VLOOKUP($B506,[2]Complaints!$A$4:$AJ$39,27,)</f>
        <v>0</v>
      </c>
      <c r="F536" s="72">
        <f>VLOOKUP($B506,[3]Complaints!$A$4:$AJ$39,27,)</f>
        <v>0</v>
      </c>
      <c r="G536" s="72">
        <f>VLOOKUP($B506,[4]Complaints!$A$4:$AJ$39,27,)</f>
        <v>0</v>
      </c>
      <c r="H536" s="72">
        <f>VLOOKUP($B506,[5]Complaints!$A$4:$AJ$39,27,)</f>
        <v>0</v>
      </c>
      <c r="I536" s="72">
        <f>VLOOKUP($B506,[6]Complaints!$A$4:$AJ$39,27,)</f>
        <v>0</v>
      </c>
      <c r="J536" s="72">
        <f>VLOOKUP($B506,[7]Complaints!$A$4:$AJ$39,27,)</f>
        <v>0</v>
      </c>
      <c r="K536" s="72">
        <f>VLOOKUP($B506,[8]Complaints!$A$4:$AJ$39,27,)</f>
        <v>0</v>
      </c>
      <c r="L536" s="72">
        <f>VLOOKUP($B506,[9]Complaints!$A$4:$AJ$39,27,)</f>
        <v>0</v>
      </c>
      <c r="M536" s="72">
        <f>VLOOKUP($B506,[10]Complaints!$A$4:$AJ$39,27,)</f>
        <v>0</v>
      </c>
      <c r="N536" s="72">
        <f>VLOOKUP($B506,[11]Complaints!$A$4:$AJ$39,27,)</f>
        <v>0</v>
      </c>
      <c r="O536" s="73">
        <f>VLOOKUP($B506,[12]Complaints!$A$4:$AJ$39,27,)</f>
        <v>0</v>
      </c>
      <c r="P536" s="69">
        <f t="shared" si="139"/>
        <v>0</v>
      </c>
      <c r="Q536" s="70" t="str">
        <f>IF(P536=0,"",P536/$P514)</f>
        <v/>
      </c>
      <c r="S536" s="18"/>
    </row>
    <row r="537" spans="1:19" ht="15.75" customHeight="1" x14ac:dyDescent="0.2">
      <c r="B537" s="145"/>
      <c r="C537" s="39" t="s">
        <v>87</v>
      </c>
      <c r="D537" s="71">
        <f>VLOOKUP($B506,[1]Complaints!$A$4:$AJ$39,28,)</f>
        <v>0</v>
      </c>
      <c r="E537" s="72">
        <f>VLOOKUP($B506,[2]Complaints!$A$4:$AJ$39,28,)</f>
        <v>0</v>
      </c>
      <c r="F537" s="72">
        <f>VLOOKUP($B506,[3]Complaints!$A$4:$AJ$39,28,)</f>
        <v>0</v>
      </c>
      <c r="G537" s="72">
        <f>VLOOKUP($B506,[4]Complaints!$A$4:$AJ$39,28,)</f>
        <v>0</v>
      </c>
      <c r="H537" s="72">
        <f>VLOOKUP($B506,[5]Complaints!$A$4:$AJ$39,28,)</f>
        <v>0</v>
      </c>
      <c r="I537" s="72">
        <f>VLOOKUP($B506,[6]Complaints!$A$4:$AJ$39,28,)</f>
        <v>0</v>
      </c>
      <c r="J537" s="72">
        <f>VLOOKUP($B506,[7]Complaints!$A$4:$AJ$39,28,)</f>
        <v>0</v>
      </c>
      <c r="K537" s="72">
        <f>VLOOKUP($B506,[8]Complaints!$A$4:$AJ$39,28,)</f>
        <v>0</v>
      </c>
      <c r="L537" s="72">
        <f>VLOOKUP($B506,[9]Complaints!$A$4:$AJ$39,28,)</f>
        <v>0</v>
      </c>
      <c r="M537" s="72">
        <f>VLOOKUP($B506,[10]Complaints!$A$4:$AJ$39,28,)</f>
        <v>0</v>
      </c>
      <c r="N537" s="72">
        <f>VLOOKUP($B506,[11]Complaints!$A$4:$AJ$39,28,)</f>
        <v>0</v>
      </c>
      <c r="O537" s="73">
        <f>VLOOKUP($B506,[12]Complaints!$A$4:$AJ$39,28,)</f>
        <v>0</v>
      </c>
      <c r="P537" s="69">
        <f t="shared" si="139"/>
        <v>0</v>
      </c>
      <c r="Q537" s="70" t="str">
        <f>IF(P537=0,"",P537/$P514)</f>
        <v/>
      </c>
      <c r="R537" s="18"/>
    </row>
    <row r="538" spans="1:19" ht="15.75" customHeight="1" x14ac:dyDescent="0.2">
      <c r="B538" s="145"/>
      <c r="C538" s="38" t="s">
        <v>111</v>
      </c>
      <c r="D538" s="66">
        <f>VLOOKUP($B506,[1]Complaints!$A$4:$AJ$39,29,)</f>
        <v>0</v>
      </c>
      <c r="E538" s="67">
        <f>VLOOKUP($B506,[2]Complaints!$A$4:$AJ$39,29,)</f>
        <v>0</v>
      </c>
      <c r="F538" s="67">
        <f>VLOOKUP($B506,[3]Complaints!$A$4:$AJ$39,29,)</f>
        <v>0</v>
      </c>
      <c r="G538" s="67">
        <f>VLOOKUP($B506,[4]Complaints!$A$4:$AJ$39,29,)</f>
        <v>0</v>
      </c>
      <c r="H538" s="67">
        <f>VLOOKUP($B506,[5]Complaints!$A$4:$AJ$39,29,)</f>
        <v>0</v>
      </c>
      <c r="I538" s="67">
        <f>VLOOKUP($B506,[6]Complaints!$A$4:$AJ$39,29,)</f>
        <v>1</v>
      </c>
      <c r="J538" s="67">
        <f>VLOOKUP($B506,[7]Complaints!$A$4:$AJ$39,29,)</f>
        <v>0</v>
      </c>
      <c r="K538" s="67">
        <f>VLOOKUP($B506,[8]Complaints!$A$4:$AJ$39,29,)</f>
        <v>0</v>
      </c>
      <c r="L538" s="67">
        <f>VLOOKUP($B506,[9]Complaints!$A$4:$AJ$39,29,)</f>
        <v>0</v>
      </c>
      <c r="M538" s="67">
        <f>VLOOKUP($B506,[10]Complaints!$A$4:$AJ$39,29,)</f>
        <v>0</v>
      </c>
      <c r="N538" s="67">
        <f>VLOOKUP($B506,[11]Complaints!$A$4:$AJ$39,29,)</f>
        <v>0</v>
      </c>
      <c r="O538" s="68">
        <f>VLOOKUP($B506,[12]Complaints!$A$4:$AJ$39,29,)</f>
        <v>0</v>
      </c>
      <c r="P538" s="69">
        <f t="shared" si="139"/>
        <v>1</v>
      </c>
      <c r="Q538" s="70">
        <f>IF(P538=0,"",P538/$P514)</f>
        <v>0.125</v>
      </c>
      <c r="R538" s="18"/>
    </row>
    <row r="539" spans="1:19" ht="15.75" customHeight="1" x14ac:dyDescent="0.2">
      <c r="B539" s="145"/>
      <c r="C539" s="38" t="s">
        <v>112</v>
      </c>
      <c r="D539" s="66">
        <f>VLOOKUP($B506,[1]Complaints!$A$4:$AJ$39,30,)</f>
        <v>0</v>
      </c>
      <c r="E539" s="67">
        <f>VLOOKUP($B506,[2]Complaints!$A$4:$AJ$39,30,)</f>
        <v>0</v>
      </c>
      <c r="F539" s="67">
        <f>VLOOKUP($B506,[3]Complaints!$A$4:$AJ$39,30,)</f>
        <v>0</v>
      </c>
      <c r="G539" s="67">
        <f>VLOOKUP($B506,[4]Complaints!$A$4:$AJ$39,30,)</f>
        <v>0</v>
      </c>
      <c r="H539" s="67">
        <f>VLOOKUP($B506,[5]Complaints!$A$4:$AJ$39,30,)</f>
        <v>0</v>
      </c>
      <c r="I539" s="67">
        <f>VLOOKUP($B506,[6]Complaints!$A$4:$AJ$39,30,)</f>
        <v>0</v>
      </c>
      <c r="J539" s="67">
        <f>VLOOKUP($B506,[7]Complaints!$A$4:$AJ$39,30,)</f>
        <v>0</v>
      </c>
      <c r="K539" s="67">
        <f>VLOOKUP($B506,[8]Complaints!$A$4:$AJ$39,30,)</f>
        <v>0</v>
      </c>
      <c r="L539" s="67">
        <f>VLOOKUP($B506,[9]Complaints!$A$4:$AJ$39,30,)</f>
        <v>0</v>
      </c>
      <c r="M539" s="67">
        <f>VLOOKUP($B506,[10]Complaints!$A$4:$AJ$39,30,)</f>
        <v>0</v>
      </c>
      <c r="N539" s="67">
        <f>VLOOKUP($B506,[11]Complaints!$A$4:$AJ$39,30,)</f>
        <v>0</v>
      </c>
      <c r="O539" s="68">
        <f>VLOOKUP($B506,[12]Complaints!$A$4:$AJ$39,30,)</f>
        <v>0</v>
      </c>
      <c r="P539" s="69">
        <f t="shared" si="139"/>
        <v>0</v>
      </c>
      <c r="Q539" s="70" t="str">
        <f>IF(P539=0,"",P539/$P514)</f>
        <v/>
      </c>
      <c r="R539" s="18"/>
    </row>
    <row r="540" spans="1:19" ht="15.75" customHeight="1" x14ac:dyDescent="0.2">
      <c r="B540" s="146"/>
      <c r="C540" s="40" t="s">
        <v>119</v>
      </c>
      <c r="D540" s="74">
        <f>VLOOKUP($B506,[1]Complaints!$A$4:$AJ$39,31,)</f>
        <v>0</v>
      </c>
      <c r="E540" s="75">
        <f>VLOOKUP($B506,[2]Complaints!$A$4:$AJ$39,31,)</f>
        <v>0</v>
      </c>
      <c r="F540" s="75">
        <f>VLOOKUP($B506,[3]Complaints!$A$4:$AJ$39,31,)</f>
        <v>0</v>
      </c>
      <c r="G540" s="75">
        <f>VLOOKUP($B506,[4]Complaints!$A$4:$AJ$39,31,)</f>
        <v>0</v>
      </c>
      <c r="H540" s="75">
        <f>VLOOKUP($B506,[5]Complaints!$A$4:$AJ$39,31,)</f>
        <v>0</v>
      </c>
      <c r="I540" s="75">
        <f>VLOOKUP($B506,[6]Complaints!$A$4:$AJ$39,31,)</f>
        <v>0</v>
      </c>
      <c r="J540" s="75">
        <f>VLOOKUP($B506,[7]Complaints!$A$4:$AJ$39,31,)</f>
        <v>0</v>
      </c>
      <c r="K540" s="75">
        <f>VLOOKUP($B506,[8]Complaints!$A$4:$AJ$39,31,)</f>
        <v>0</v>
      </c>
      <c r="L540" s="75">
        <f>VLOOKUP($B506,[9]Complaints!$A$4:$AJ$39,31,)</f>
        <v>0</v>
      </c>
      <c r="M540" s="75">
        <f>VLOOKUP($B506,[10]Complaints!$A$4:$AJ$39,31,)</f>
        <v>0</v>
      </c>
      <c r="N540" s="75">
        <f>VLOOKUP($B506,[11]Complaints!$A$4:$AJ$39,31,)</f>
        <v>0</v>
      </c>
      <c r="O540" s="76">
        <f>VLOOKUP($B506,[12]Complaints!$A$4:$AJ$39,31,)</f>
        <v>0</v>
      </c>
      <c r="P540" s="77">
        <f t="shared" si="139"/>
        <v>0</v>
      </c>
      <c r="Q540" s="50" t="str">
        <f>IF(P540=0,"",P540/$P514)</f>
        <v/>
      </c>
      <c r="R540" s="18"/>
    </row>
    <row r="541" spans="1:19" ht="15.75" customHeight="1" x14ac:dyDescent="0.2">
      <c r="B541" s="146"/>
      <c r="C541" s="38" t="s">
        <v>113</v>
      </c>
      <c r="D541" s="66">
        <f>VLOOKUP($B506,[1]Complaints!$A$4:$AJ$39,32,)</f>
        <v>0</v>
      </c>
      <c r="E541" s="67">
        <f>VLOOKUP($B506,[2]Complaints!$A$4:$AJ$39,32,)</f>
        <v>0</v>
      </c>
      <c r="F541" s="67">
        <f>VLOOKUP($B506,[3]Complaints!$A$4:$AJ$39,32,)</f>
        <v>0</v>
      </c>
      <c r="G541" s="67">
        <f>VLOOKUP($B506,[4]Complaints!$A$4:$AJ$39,32,)</f>
        <v>0</v>
      </c>
      <c r="H541" s="67">
        <f>VLOOKUP($B506,[5]Complaints!$A$4:$AJ$39,32,)</f>
        <v>0</v>
      </c>
      <c r="I541" s="67">
        <f>VLOOKUP($B506,[6]Complaints!$A$4:$AJ$39,32,)</f>
        <v>0</v>
      </c>
      <c r="J541" s="67">
        <f>VLOOKUP($B506,[7]Complaints!$A$4:$AJ$39,32,)</f>
        <v>0</v>
      </c>
      <c r="K541" s="67">
        <f>VLOOKUP($B506,[8]Complaints!$A$4:$AJ$39,32,)</f>
        <v>0</v>
      </c>
      <c r="L541" s="67">
        <f>VLOOKUP($B506,[9]Complaints!$A$4:$AJ$39,32,)</f>
        <v>0</v>
      </c>
      <c r="M541" s="67">
        <f>VLOOKUP($B506,[10]Complaints!$A$4:$AJ$39,32,)</f>
        <v>0</v>
      </c>
      <c r="N541" s="67">
        <f>VLOOKUP($B506,[11]Complaints!$A$4:$AJ$39,32,)</f>
        <v>0</v>
      </c>
      <c r="O541" s="68">
        <f>VLOOKUP($B506,[12]Complaints!$A$4:$AJ$39,32,)</f>
        <v>0</v>
      </c>
      <c r="P541" s="69">
        <f t="shared" si="139"/>
        <v>0</v>
      </c>
      <c r="Q541" s="70" t="str">
        <f>IF(P541=0,"",P541/$P514)</f>
        <v/>
      </c>
      <c r="R541" s="18"/>
    </row>
    <row r="542" spans="1:19" ht="15.75" customHeight="1" x14ac:dyDescent="0.2">
      <c r="B542" s="146"/>
      <c r="C542" s="38" t="s">
        <v>114</v>
      </c>
      <c r="D542" s="66">
        <f>VLOOKUP($B506,[1]Complaints!$A$4:$AJ$39,33,)</f>
        <v>0</v>
      </c>
      <c r="E542" s="67">
        <f>VLOOKUP($B506,[2]Complaints!$A$4:$AJ$39,33,)</f>
        <v>0</v>
      </c>
      <c r="F542" s="67">
        <f>VLOOKUP($B506,[3]Complaints!$A$4:$AJ$39,33,)</f>
        <v>0</v>
      </c>
      <c r="G542" s="67">
        <f>VLOOKUP($B506,[4]Complaints!$A$4:$AJ$39,33,)</f>
        <v>0</v>
      </c>
      <c r="H542" s="67">
        <f>VLOOKUP($B506,[5]Complaints!$A$4:$AJ$39,33,)</f>
        <v>0</v>
      </c>
      <c r="I542" s="67">
        <f>VLOOKUP($B506,[6]Complaints!$A$4:$AJ$39,33,)</f>
        <v>0</v>
      </c>
      <c r="J542" s="67">
        <f>VLOOKUP($B506,[7]Complaints!$A$4:$AJ$39,33,)</f>
        <v>0</v>
      </c>
      <c r="K542" s="67">
        <f>VLOOKUP($B506,[8]Complaints!$A$4:$AJ$39,33,)</f>
        <v>0</v>
      </c>
      <c r="L542" s="67">
        <f>VLOOKUP($B506,[9]Complaints!$A$4:$AJ$39,33,)</f>
        <v>0</v>
      </c>
      <c r="M542" s="67">
        <f>VLOOKUP($B506,[10]Complaints!$A$4:$AJ$39,33,)</f>
        <v>0</v>
      </c>
      <c r="N542" s="67">
        <f>VLOOKUP($B506,[11]Complaints!$A$4:$AJ$39,33,)</f>
        <v>0</v>
      </c>
      <c r="O542" s="68">
        <f>VLOOKUP($B506,[12]Complaints!$A$4:$AJ$39,33,)</f>
        <v>0</v>
      </c>
      <c r="P542" s="69">
        <f t="shared" si="139"/>
        <v>0</v>
      </c>
      <c r="Q542" s="70" t="str">
        <f>IF(P542=0,"",P542/$P514)</f>
        <v/>
      </c>
      <c r="R542" s="18"/>
    </row>
    <row r="543" spans="1:19" ht="15.75" customHeight="1" x14ac:dyDescent="0.2">
      <c r="B543" s="146"/>
      <c r="C543" s="38" t="s">
        <v>115</v>
      </c>
      <c r="D543" s="66">
        <f>VLOOKUP($B506,[1]Complaints!$A$4:$AJ$39,34,)</f>
        <v>0</v>
      </c>
      <c r="E543" s="67">
        <f>VLOOKUP($B506,[2]Complaints!$A$4:$AJ$39,34,)</f>
        <v>0</v>
      </c>
      <c r="F543" s="67">
        <f>VLOOKUP($B506,[3]Complaints!$A$4:$AJ$39,34,)</f>
        <v>0</v>
      </c>
      <c r="G543" s="67">
        <f>VLOOKUP($B506,[4]Complaints!$A$4:$AJ$39,34,)</f>
        <v>0</v>
      </c>
      <c r="H543" s="67">
        <f>VLOOKUP($B506,[5]Complaints!$A$4:$AJ$39,34,)</f>
        <v>0</v>
      </c>
      <c r="I543" s="67">
        <f>VLOOKUP($B506,[6]Complaints!$A$4:$AJ$39,34,)</f>
        <v>0</v>
      </c>
      <c r="J543" s="67">
        <f>VLOOKUP($B506,[7]Complaints!$A$4:$AJ$39,34,)</f>
        <v>0</v>
      </c>
      <c r="K543" s="67">
        <f>VLOOKUP($B506,[8]Complaints!$A$4:$AJ$39,34,)</f>
        <v>0</v>
      </c>
      <c r="L543" s="67">
        <f>VLOOKUP($B506,[9]Complaints!$A$4:$AJ$39,34,)</f>
        <v>0</v>
      </c>
      <c r="M543" s="67">
        <f>VLOOKUP($B506,[10]Complaints!$A$4:$AJ$39,34,)</f>
        <v>0</v>
      </c>
      <c r="N543" s="67">
        <f>VLOOKUP($B506,[11]Complaints!$A$4:$AJ$39,34,)</f>
        <v>0</v>
      </c>
      <c r="O543" s="68">
        <f>VLOOKUP($B506,[12]Complaints!$A$4:$AJ$39,34,)</f>
        <v>0</v>
      </c>
      <c r="P543" s="69">
        <f t="shared" si="139"/>
        <v>0</v>
      </c>
      <c r="Q543" s="70" t="str">
        <f>IF(P543=0,"",P543/$P514)</f>
        <v/>
      </c>
      <c r="R543" s="18"/>
    </row>
    <row r="544" spans="1:19" ht="15.75" customHeight="1" x14ac:dyDescent="0.2">
      <c r="B544" s="146"/>
      <c r="C544" s="38" t="s">
        <v>116</v>
      </c>
      <c r="D544" s="66">
        <f>VLOOKUP($B506,[1]Complaints!$A$4:$AJ$39,35,)</f>
        <v>0</v>
      </c>
      <c r="E544" s="67">
        <f>VLOOKUP($B506,[2]Complaints!$A$4:$AJ$39,35,)</f>
        <v>0</v>
      </c>
      <c r="F544" s="67">
        <f>VLOOKUP($B506,[3]Complaints!$A$4:$AJ$39,35,)</f>
        <v>0</v>
      </c>
      <c r="G544" s="67">
        <f>VLOOKUP($B506,[4]Complaints!$A$4:$AJ$39,35,)</f>
        <v>0</v>
      </c>
      <c r="H544" s="67">
        <f>VLOOKUP($B506,[5]Complaints!$A$4:$AJ$39,35,)</f>
        <v>0</v>
      </c>
      <c r="I544" s="67">
        <f>VLOOKUP($B506,[6]Complaints!$A$4:$AJ$39,35,)</f>
        <v>0</v>
      </c>
      <c r="J544" s="67">
        <f>VLOOKUP($B506,[7]Complaints!$A$4:$AJ$39,35,)</f>
        <v>0</v>
      </c>
      <c r="K544" s="67">
        <f>VLOOKUP($B506,[8]Complaints!$A$4:$AJ$39,35,)</f>
        <v>0</v>
      </c>
      <c r="L544" s="67">
        <f>VLOOKUP($B506,[9]Complaints!$A$4:$AJ$39,35,)</f>
        <v>0</v>
      </c>
      <c r="M544" s="67">
        <f>VLOOKUP($B506,[10]Complaints!$A$4:$AJ$39,35,)</f>
        <v>0</v>
      </c>
      <c r="N544" s="67">
        <f>VLOOKUP($B506,[11]Complaints!$A$4:$AJ$39,35,)</f>
        <v>0</v>
      </c>
      <c r="O544" s="68">
        <f>VLOOKUP($B506,[12]Complaints!$A$4:$AJ$39,35,)</f>
        <v>0</v>
      </c>
      <c r="P544" s="69">
        <f t="shared" si="139"/>
        <v>0</v>
      </c>
      <c r="Q544" s="70" t="str">
        <f>IF(P544=0,"",P544/$P514)</f>
        <v/>
      </c>
      <c r="R544" s="18"/>
    </row>
    <row r="545" spans="2:18" ht="15.75" customHeight="1" thickBot="1" x14ac:dyDescent="0.25">
      <c r="B545" s="147"/>
      <c r="C545" s="41" t="s">
        <v>117</v>
      </c>
      <c r="D545" s="78">
        <f>VLOOKUP($B506,[1]Complaints!$A$4:$AJ$39,36,)</f>
        <v>0</v>
      </c>
      <c r="E545" s="79">
        <f>VLOOKUP($B506,[2]Complaints!$A$4:$AJ$39,36,)</f>
        <v>0</v>
      </c>
      <c r="F545" s="79">
        <f>VLOOKUP($B506,[3]Complaints!$A$4:$AJ$39,36,)</f>
        <v>0</v>
      </c>
      <c r="G545" s="79">
        <f>VLOOKUP($B506,[4]Complaints!$A$4:$AJ$39,36,)</f>
        <v>0</v>
      </c>
      <c r="H545" s="79">
        <f>VLOOKUP($B506,[5]Complaints!$A$4:$AJ$39,36,)</f>
        <v>0</v>
      </c>
      <c r="I545" s="79">
        <f>VLOOKUP($B506,[6]Complaints!$A$4:$AJ$39,36,)</f>
        <v>0</v>
      </c>
      <c r="J545" s="79">
        <f>VLOOKUP($B506,[7]Complaints!$A$4:$AJ$39,36,)</f>
        <v>0</v>
      </c>
      <c r="K545" s="79">
        <f>VLOOKUP($B506,[8]Complaints!$A$4:$AJ$39,36,)</f>
        <v>0</v>
      </c>
      <c r="L545" s="79">
        <f>VLOOKUP($B506,[9]Complaints!$A$4:$AJ$39,36,)</f>
        <v>0</v>
      </c>
      <c r="M545" s="79">
        <f>VLOOKUP($B506,[10]Complaints!$A$4:$AJ$39,36,)</f>
        <v>0</v>
      </c>
      <c r="N545" s="79">
        <f>VLOOKUP($B506,[11]Complaints!$A$4:$AJ$39,36,)</f>
        <v>0</v>
      </c>
      <c r="O545" s="80">
        <f>VLOOKUP($B506,[12]Complaints!$A$4:$AJ$39,36,)</f>
        <v>0</v>
      </c>
      <c r="P545" s="81">
        <f t="shared" si="139"/>
        <v>0</v>
      </c>
      <c r="Q545" s="82" t="str">
        <f>IF(P545=0,"",P545/$P514)</f>
        <v/>
      </c>
      <c r="R545" s="18"/>
    </row>
    <row r="546" spans="2:18" ht="15.75" customHeight="1" thickBot="1" x14ac:dyDescent="0.25">
      <c r="R546" s="18"/>
    </row>
    <row r="547" spans="2:18" ht="15.75" customHeight="1" x14ac:dyDescent="0.25">
      <c r="B547" s="158" t="s">
        <v>22</v>
      </c>
      <c r="C547" s="159"/>
      <c r="D547" s="32" t="s">
        <v>0</v>
      </c>
      <c r="E547" s="20" t="s">
        <v>1</v>
      </c>
      <c r="F547" s="20" t="s">
        <v>2</v>
      </c>
      <c r="G547" s="20" t="s">
        <v>3</v>
      </c>
      <c r="H547" s="20" t="s">
        <v>4</v>
      </c>
      <c r="I547" s="20" t="s">
        <v>5</v>
      </c>
      <c r="J547" s="20" t="s">
        <v>6</v>
      </c>
      <c r="K547" s="20" t="s">
        <v>7</v>
      </c>
      <c r="L547" s="20" t="s">
        <v>8</v>
      </c>
      <c r="M547" s="20" t="s">
        <v>9</v>
      </c>
      <c r="N547" s="20" t="s">
        <v>10</v>
      </c>
      <c r="O547" s="33" t="s">
        <v>11</v>
      </c>
      <c r="P547" s="35" t="s">
        <v>12</v>
      </c>
      <c r="Q547" s="160" t="s">
        <v>104</v>
      </c>
      <c r="R547" s="18"/>
    </row>
    <row r="548" spans="2:18" ht="15.75" customHeight="1" thickBot="1" x14ac:dyDescent="0.3">
      <c r="B548" s="162" t="s">
        <v>120</v>
      </c>
      <c r="C548" s="163"/>
      <c r="D548" s="34">
        <v>2020</v>
      </c>
      <c r="E548" s="34">
        <v>2020</v>
      </c>
      <c r="F548" s="34">
        <v>2020</v>
      </c>
      <c r="G548" s="34">
        <v>2020</v>
      </c>
      <c r="H548" s="34">
        <v>2020</v>
      </c>
      <c r="I548" s="34">
        <v>2020</v>
      </c>
      <c r="J548" s="34">
        <v>2020</v>
      </c>
      <c r="K548" s="34">
        <v>2020</v>
      </c>
      <c r="L548" s="34">
        <v>2020</v>
      </c>
      <c r="M548" s="25">
        <v>2021</v>
      </c>
      <c r="N548" s="25">
        <v>2021</v>
      </c>
      <c r="O548" s="25">
        <v>2021</v>
      </c>
      <c r="P548" s="36" t="s">
        <v>122</v>
      </c>
      <c r="Q548" s="161"/>
      <c r="R548" s="18"/>
    </row>
    <row r="549" spans="2:18" ht="12.75" customHeight="1" thickBot="1" x14ac:dyDescent="0.25">
      <c r="B549" s="164" t="s">
        <v>38</v>
      </c>
      <c r="C549" s="165"/>
      <c r="D549" s="42">
        <f>VLOOKUP($B548,[1]Complaints!$A$4:$AJ$39,2,)</f>
        <v>592</v>
      </c>
      <c r="E549" s="43">
        <f>VLOOKUP($B548,[2]Complaints!$A$4:$AJ$39,2,)</f>
        <v>839</v>
      </c>
      <c r="F549" s="43">
        <f>VLOOKUP($B548,[3]Complaints!$A$4:$AJ$39,2)</f>
        <v>1351</v>
      </c>
      <c r="G549" s="43">
        <f>VLOOKUP($B548,[4]Complaints!$A$4:$AJ$39,2)</f>
        <v>1863</v>
      </c>
      <c r="H549" s="43">
        <f>VLOOKUP($B548,[5]Complaints!$A$4:$AJ$39,2)</f>
        <v>2146</v>
      </c>
      <c r="I549" s="43">
        <f>VLOOKUP($B548,[6]Complaints!$A$4:$AJ$39,2)</f>
        <v>2280</v>
      </c>
      <c r="J549" s="43">
        <f>VLOOKUP($B548,[7]Complaints!$A$4:$AJ$39,2)</f>
        <v>2216</v>
      </c>
      <c r="K549" s="43">
        <f>VLOOKUP($B548,[8]Complaints!$A$4:$AJ$39,2)</f>
        <v>2216</v>
      </c>
      <c r="L549" s="43">
        <f>VLOOKUP($B548,[9]Complaints!$A$4:$AJ$39,2)</f>
        <v>2039</v>
      </c>
      <c r="M549" s="43">
        <f>VLOOKUP($B548,[10]Complaints!$A$4:$AJ$39,2)</f>
        <v>1652</v>
      </c>
      <c r="N549" s="43">
        <f>VLOOKUP($B548,[11]Complaints!$A$4:$AJ$39,2)</f>
        <v>0</v>
      </c>
      <c r="O549" s="44">
        <f>VLOOKUP($B548,[12]Complaints!$A$4:$AJ$39,2)</f>
        <v>0</v>
      </c>
      <c r="P549" s="45">
        <f>SUM(D549:O549)</f>
        <v>17194</v>
      </c>
      <c r="Q549" s="46"/>
      <c r="R549" s="18"/>
    </row>
    <row r="550" spans="2:18" ht="15.75" customHeight="1" x14ac:dyDescent="0.2">
      <c r="B550" s="166" t="s">
        <v>94</v>
      </c>
      <c r="C550" s="167"/>
      <c r="D550" s="47">
        <f>VLOOKUP($B548,[1]Complaints!$A$4:$AF$39,3,)</f>
        <v>0</v>
      </c>
      <c r="E550" s="48">
        <f>VLOOKUP($B548,[2]Complaints!$A$4:$AF$39,3,)</f>
        <v>0</v>
      </c>
      <c r="F550" s="48">
        <f>VLOOKUP($B548,[3]Complaints!$A$4:$AG$39,3,)</f>
        <v>0</v>
      </c>
      <c r="G550" s="48">
        <f>VLOOKUP($B548,[4]Complaints!$A$4:$AG$39,3,)</f>
        <v>1</v>
      </c>
      <c r="H550" s="48">
        <f>VLOOKUP($B548,[5]Complaints!$A$4:$AG$39,3,)</f>
        <v>3</v>
      </c>
      <c r="I550" s="48">
        <f>VLOOKUP($B548,[6]Complaints!$A$4:$AG$39,3,)</f>
        <v>1</v>
      </c>
      <c r="J550" s="48">
        <f>VLOOKUP($B548,[7]Complaints!$A$4:$AG$39,3,)</f>
        <v>2</v>
      </c>
      <c r="K550" s="48">
        <f>VLOOKUP($B548,[8]Complaints!$A$4:$AG$39,3,)</f>
        <v>2</v>
      </c>
      <c r="L550" s="48">
        <f>VLOOKUP($B548,[9]Complaints!$A$4:$AG$39,3,)</f>
        <v>2</v>
      </c>
      <c r="M550" s="48">
        <f>VLOOKUP($B548,[10]Complaints!$A$4:$AG$39,3,)</f>
        <v>2</v>
      </c>
      <c r="N550" s="48">
        <f>VLOOKUP($B548,[11]Complaints!$A$4:$AG$39,3,)</f>
        <v>0</v>
      </c>
      <c r="O550" s="49">
        <f>VLOOKUP($B548,[12]Complaints!$A$4:$AG$39,3,)</f>
        <v>0</v>
      </c>
      <c r="P550" s="45">
        <f>SUM(D550:O550)</f>
        <v>13</v>
      </c>
      <c r="Q550" s="50"/>
      <c r="R550" s="18"/>
    </row>
    <row r="551" spans="2:18" ht="15.75" customHeight="1" x14ac:dyDescent="0.2">
      <c r="B551" s="26"/>
      <c r="C551" s="28" t="s">
        <v>102</v>
      </c>
      <c r="D551" s="51">
        <f>IF(D549=0,"",D550/D549)</f>
        <v>0</v>
      </c>
      <c r="E551" s="52">
        <f t="shared" ref="E551:O551" si="140">IF(E549=0,"",E550/E549)</f>
        <v>0</v>
      </c>
      <c r="F551" s="52">
        <f t="shared" si="140"/>
        <v>0</v>
      </c>
      <c r="G551" s="52">
        <f t="shared" si="140"/>
        <v>5.3676865271068169E-4</v>
      </c>
      <c r="H551" s="52">
        <f t="shared" si="140"/>
        <v>1.3979496738117428E-3</v>
      </c>
      <c r="I551" s="52">
        <f t="shared" si="140"/>
        <v>4.3859649122807018E-4</v>
      </c>
      <c r="J551" s="52">
        <f t="shared" si="140"/>
        <v>9.025270758122744E-4</v>
      </c>
      <c r="K551" s="52">
        <f t="shared" si="140"/>
        <v>9.025270758122744E-4</v>
      </c>
      <c r="L551" s="52">
        <f t="shared" si="140"/>
        <v>9.8087297694948511E-4</v>
      </c>
      <c r="M551" s="52">
        <f t="shared" si="140"/>
        <v>1.2106537530266344E-3</v>
      </c>
      <c r="N551" s="52" t="str">
        <f t="shared" si="140"/>
        <v/>
      </c>
      <c r="O551" s="53" t="str">
        <f t="shared" si="140"/>
        <v/>
      </c>
      <c r="P551" s="54">
        <f>IF(P550="","",P550/P549)</f>
        <v>7.5607770152378738E-4</v>
      </c>
      <c r="Q551" s="50"/>
      <c r="R551" s="18"/>
    </row>
    <row r="552" spans="2:18" s="21" customFormat="1" ht="15.75" customHeight="1" x14ac:dyDescent="0.2">
      <c r="B552" s="155" t="s">
        <v>95</v>
      </c>
      <c r="C552" s="156"/>
      <c r="D552" s="47">
        <f>VLOOKUP($B548,[1]Complaints!$A$4:$AF$39,4,)</f>
        <v>0</v>
      </c>
      <c r="E552" s="48">
        <f>VLOOKUP($B548,[2]Complaints!$A$4:$AF$39,4,)</f>
        <v>0</v>
      </c>
      <c r="F552" s="48">
        <f>VLOOKUP($B548,[3]Complaints!$A$4:$AG$39,4,)</f>
        <v>0</v>
      </c>
      <c r="G552" s="48">
        <f>VLOOKUP($B548,[4]Complaints!$A$4:$AG$39,4,)</f>
        <v>1</v>
      </c>
      <c r="H552" s="48">
        <f>VLOOKUP($B548,[5]Complaints!$A$4:$AG$39,4,)</f>
        <v>2</v>
      </c>
      <c r="I552" s="48">
        <f>VLOOKUP($B548,[6]Complaints!$A$4:$AG$39,4,)</f>
        <v>0</v>
      </c>
      <c r="J552" s="48">
        <f>VLOOKUP($B548,[7]Complaints!$A$4:$AG$39,4,)</f>
        <v>1</v>
      </c>
      <c r="K552" s="48">
        <f>VLOOKUP($B548,[8]Complaints!$A$4:$AG$39,4,)</f>
        <v>1</v>
      </c>
      <c r="L552" s="48">
        <f>VLOOKUP($B548,[9]Complaints!$A$4:$AG$39,4,)</f>
        <v>0</v>
      </c>
      <c r="M552" s="48">
        <f>VLOOKUP($B548,[10]Complaints!$A$4:$AG$39,4,)</f>
        <v>1</v>
      </c>
      <c r="N552" s="48">
        <f>VLOOKUP($B548,[11]Complaints!$A$4:$AG$39,4,)</f>
        <v>0</v>
      </c>
      <c r="O552" s="49">
        <f>VLOOKUP($B548,[12]Complaints!$A$4:$AG$39,4,)</f>
        <v>0</v>
      </c>
      <c r="P552" s="55">
        <f t="shared" ref="P552" si="141">SUM(D552:O552)</f>
        <v>6</v>
      </c>
      <c r="Q552" s="50"/>
    </row>
    <row r="553" spans="2:18" ht="15.75" customHeight="1" x14ac:dyDescent="0.2">
      <c r="B553" s="26"/>
      <c r="C553" s="28" t="s">
        <v>98</v>
      </c>
      <c r="D553" s="51">
        <f>IF(D549=0,"",D552/D549)</f>
        <v>0</v>
      </c>
      <c r="E553" s="52">
        <f t="shared" ref="E553:O553" si="142">IF(E549=0,"",E552/E549)</f>
        <v>0</v>
      </c>
      <c r="F553" s="52">
        <f t="shared" si="142"/>
        <v>0</v>
      </c>
      <c r="G553" s="52">
        <f t="shared" si="142"/>
        <v>5.3676865271068169E-4</v>
      </c>
      <c r="H553" s="52">
        <f t="shared" si="142"/>
        <v>9.3196644920782849E-4</v>
      </c>
      <c r="I553" s="52">
        <f t="shared" si="142"/>
        <v>0</v>
      </c>
      <c r="J553" s="52">
        <f t="shared" si="142"/>
        <v>4.512635379061372E-4</v>
      </c>
      <c r="K553" s="52">
        <f t="shared" si="142"/>
        <v>4.512635379061372E-4</v>
      </c>
      <c r="L553" s="52">
        <f t="shared" si="142"/>
        <v>0</v>
      </c>
      <c r="M553" s="52">
        <f t="shared" si="142"/>
        <v>6.0532687651331722E-4</v>
      </c>
      <c r="N553" s="52" t="str">
        <f t="shared" si="142"/>
        <v/>
      </c>
      <c r="O553" s="53" t="str">
        <f t="shared" si="142"/>
        <v/>
      </c>
      <c r="P553" s="54">
        <f>IF(P552="","",P552/P549)</f>
        <v>3.4895893916482492E-4</v>
      </c>
      <c r="Q553" s="50"/>
      <c r="R553" s="18"/>
    </row>
    <row r="554" spans="2:18" ht="15.75" customHeight="1" x14ac:dyDescent="0.2">
      <c r="B554" s="155" t="s">
        <v>96</v>
      </c>
      <c r="C554" s="156"/>
      <c r="D554" s="47">
        <f>VLOOKUP($B548,[1]Complaints!$A$4:$AF$39,5,)</f>
        <v>0</v>
      </c>
      <c r="E554" s="48">
        <f>VLOOKUP($B548,[2]Complaints!$A$4:$AF$39,5,)</f>
        <v>0</v>
      </c>
      <c r="F554" s="48">
        <f>VLOOKUP($B548,[3]Complaints!$A$4:$AG$39,5,)</f>
        <v>0</v>
      </c>
      <c r="G554" s="48">
        <f>VLOOKUP($B548,[4]Complaints!$A$4:$AG$39,5,)</f>
        <v>0</v>
      </c>
      <c r="H554" s="48">
        <f>VLOOKUP($B548,[5]Complaints!$A$4:$AG$39,5,)</f>
        <v>1</v>
      </c>
      <c r="I554" s="48">
        <f>VLOOKUP($B548,[6]Complaints!$A$4:$AG$39,5,)</f>
        <v>1</v>
      </c>
      <c r="J554" s="48">
        <f>VLOOKUP($B548,[7]Complaints!$A$4:$AG$39,5,)</f>
        <v>1</v>
      </c>
      <c r="K554" s="48">
        <f>VLOOKUP($B548,[8]Complaints!$A$4:$AG$39,5,)</f>
        <v>1</v>
      </c>
      <c r="L554" s="48">
        <f>VLOOKUP($B548,[9]Complaints!$A$4:$AG$39,5,)</f>
        <v>2</v>
      </c>
      <c r="M554" s="48">
        <f>VLOOKUP($B548,[10]Complaints!$A$4:$AG$39,5,)</f>
        <v>1</v>
      </c>
      <c r="N554" s="48">
        <f>VLOOKUP($B548,[11]Complaints!$A$4:$AG$39,5,)</f>
        <v>0</v>
      </c>
      <c r="O554" s="49">
        <f>VLOOKUP($B548,[12]Complaints!$A$4:$AG$39,5,)</f>
        <v>0</v>
      </c>
      <c r="P554" s="55">
        <f t="shared" ref="P554" si="143">SUM(D554:O554)</f>
        <v>7</v>
      </c>
      <c r="Q554" s="50"/>
      <c r="R554" s="18"/>
    </row>
    <row r="555" spans="2:18" ht="15.75" customHeight="1" x14ac:dyDescent="0.2">
      <c r="B555" s="26"/>
      <c r="C555" s="28" t="s">
        <v>99</v>
      </c>
      <c r="D555" s="51">
        <f>IF(D549=0,"",D554/D549)</f>
        <v>0</v>
      </c>
      <c r="E555" s="52">
        <f t="shared" ref="E555:O555" si="144">IF(E549=0,"",E554/E549)</f>
        <v>0</v>
      </c>
      <c r="F555" s="52">
        <f t="shared" si="144"/>
        <v>0</v>
      </c>
      <c r="G555" s="52">
        <f t="shared" si="144"/>
        <v>0</v>
      </c>
      <c r="H555" s="52">
        <f t="shared" si="144"/>
        <v>4.6598322460391424E-4</v>
      </c>
      <c r="I555" s="52">
        <f t="shared" si="144"/>
        <v>4.3859649122807018E-4</v>
      </c>
      <c r="J555" s="52">
        <f t="shared" si="144"/>
        <v>4.512635379061372E-4</v>
      </c>
      <c r="K555" s="52">
        <f t="shared" si="144"/>
        <v>4.512635379061372E-4</v>
      </c>
      <c r="L555" s="52">
        <f t="shared" si="144"/>
        <v>9.8087297694948511E-4</v>
      </c>
      <c r="M555" s="52">
        <f t="shared" si="144"/>
        <v>6.0532687651331722E-4</v>
      </c>
      <c r="N555" s="52" t="str">
        <f t="shared" si="144"/>
        <v/>
      </c>
      <c r="O555" s="53" t="str">
        <f t="shared" si="144"/>
        <v/>
      </c>
      <c r="P555" s="54">
        <f>IF(P554="","",P554/P549)</f>
        <v>4.071187623589624E-4</v>
      </c>
      <c r="Q555" s="50"/>
      <c r="R555" s="18"/>
    </row>
    <row r="556" spans="2:18" ht="15.75" customHeight="1" x14ac:dyDescent="0.2">
      <c r="B556" s="157" t="s">
        <v>97</v>
      </c>
      <c r="C556" s="156"/>
      <c r="D556" s="47">
        <f>VLOOKUP($B548,[1]Complaints!$A$4:$AF$39,6,)</f>
        <v>0</v>
      </c>
      <c r="E556" s="48">
        <f>VLOOKUP($B548,[2]Complaints!$A$4:$AF$39,6,)</f>
        <v>0</v>
      </c>
      <c r="F556" s="48">
        <f>VLOOKUP($B548,[3]Complaints!$A$4:$AG$39,6,)</f>
        <v>0</v>
      </c>
      <c r="G556" s="48">
        <f>VLOOKUP($B548,[4]Complaints!$A$4:$AG$39,6,)</f>
        <v>0</v>
      </c>
      <c r="H556" s="48">
        <f>VLOOKUP($B548,[5]Complaints!$A$4:$AG$39,6,)</f>
        <v>1</v>
      </c>
      <c r="I556" s="48">
        <f>VLOOKUP($B548,[6]Complaints!$A$4:$AG$39,6,)</f>
        <v>1</v>
      </c>
      <c r="J556" s="48">
        <f>VLOOKUP($B548,[7]Complaints!$A$4:$AG$39,6,)</f>
        <v>1</v>
      </c>
      <c r="K556" s="48">
        <f>VLOOKUP($B548,[8]Complaints!$A$4:$AG$39,6,)</f>
        <v>1</v>
      </c>
      <c r="L556" s="48">
        <f>VLOOKUP($B548,[9]Complaints!$A$4:$AG$39,6,)</f>
        <v>2</v>
      </c>
      <c r="M556" s="48">
        <f>VLOOKUP($B548,[10]Complaints!$A$4:$AG$39,6,)</f>
        <v>2</v>
      </c>
      <c r="N556" s="48">
        <f>VLOOKUP($B548,[11]Complaints!$A$4:$AG$39,6,)</f>
        <v>0</v>
      </c>
      <c r="O556" s="49">
        <f>VLOOKUP($B548,[12]Complaints!$A$4:$AG$39,6,)</f>
        <v>0</v>
      </c>
      <c r="P556" s="55">
        <f t="shared" ref="P556" si="145">SUM(D556:O556)</f>
        <v>8</v>
      </c>
      <c r="Q556" s="50"/>
      <c r="R556" s="18"/>
    </row>
    <row r="557" spans="2:18" ht="15.75" customHeight="1" thickBot="1" x14ac:dyDescent="0.25">
      <c r="B557" s="27"/>
      <c r="C557" s="29" t="s">
        <v>100</v>
      </c>
      <c r="D557" s="56" t="str">
        <f>IF(D556=0,"",D556/D554)</f>
        <v/>
      </c>
      <c r="E557" s="57" t="str">
        <f t="shared" ref="E557:H557" si="146">IF(E556=0,"",E556/E554)</f>
        <v/>
      </c>
      <c r="F557" s="57" t="str">
        <f t="shared" si="146"/>
        <v/>
      </c>
      <c r="G557" s="57" t="str">
        <f t="shared" si="146"/>
        <v/>
      </c>
      <c r="H557" s="57">
        <f t="shared" si="146"/>
        <v>1</v>
      </c>
      <c r="I557" s="57">
        <f>IF(I556=0,"",I556/I554)</f>
        <v>1</v>
      </c>
      <c r="J557" s="57">
        <f t="shared" ref="J557:O557" si="147">IF(J556=0,"",J556/J554)</f>
        <v>1</v>
      </c>
      <c r="K557" s="57">
        <f t="shared" si="147"/>
        <v>1</v>
      </c>
      <c r="L557" s="57">
        <f t="shared" si="147"/>
        <v>1</v>
      </c>
      <c r="M557" s="57">
        <f t="shared" si="147"/>
        <v>2</v>
      </c>
      <c r="N557" s="57" t="str">
        <f t="shared" si="147"/>
        <v/>
      </c>
      <c r="O557" s="58" t="str">
        <f t="shared" si="147"/>
        <v/>
      </c>
      <c r="P557" s="59">
        <f>IF(P556=0,"",P556/P554)</f>
        <v>1.1428571428571428</v>
      </c>
      <c r="Q557" s="60"/>
      <c r="R557" s="18"/>
    </row>
    <row r="558" spans="2:18" ht="15.75" customHeight="1" x14ac:dyDescent="0.2">
      <c r="B558" s="168" t="s">
        <v>103</v>
      </c>
      <c r="C558" s="30" t="s">
        <v>77</v>
      </c>
      <c r="D558" s="61">
        <f>VLOOKUP($B548,[1]Complaints!$A$4:$AJ$39,7,)</f>
        <v>0</v>
      </c>
      <c r="E558" s="43">
        <f>VLOOKUP($B548,[2]Complaints!$A$4:$AJ$39,7,)</f>
        <v>0</v>
      </c>
      <c r="F558" s="43">
        <f>VLOOKUP($B548,[3]Complaints!$A$4:$AJ$39,7,)</f>
        <v>0</v>
      </c>
      <c r="G558" s="43">
        <f>VLOOKUP($B548,[4]Complaints!$A$4:$AJ$39,7,)</f>
        <v>0</v>
      </c>
      <c r="H558" s="43">
        <f>VLOOKUP($B548,[5]Complaints!$A$4:$AJ$39,7,)</f>
        <v>0</v>
      </c>
      <c r="I558" s="43">
        <f>VLOOKUP($B548,[6]Complaints!$A$4:$AJ$39,7,)</f>
        <v>0</v>
      </c>
      <c r="J558" s="43">
        <f>VLOOKUP($B548,[7]Complaints!$A$4:$AJ$39,7,)</f>
        <v>0</v>
      </c>
      <c r="K558" s="43">
        <f>VLOOKUP($B548,[8]Complaints!$A$4:$AJ$39,7,)</f>
        <v>0</v>
      </c>
      <c r="L558" s="43">
        <f>VLOOKUP($B548,[9]Complaints!$A$4:$AJ$39,7,)</f>
        <v>0</v>
      </c>
      <c r="M558" s="43">
        <f>VLOOKUP($B548,[10]Complaints!$A$4:$AJ$39,7,)</f>
        <v>1</v>
      </c>
      <c r="N558" s="43">
        <f>VLOOKUP($B548,[11]Complaints!$A$4:$AJ$39,7,)</f>
        <v>0</v>
      </c>
      <c r="O558" s="44">
        <f>VLOOKUP($B548,[12]Complaints!$A$4:$AJ$39,7,)</f>
        <v>0</v>
      </c>
      <c r="P558" s="45">
        <f>SUM(D558:O558)</f>
        <v>1</v>
      </c>
      <c r="Q558" s="46">
        <f>IF(P558=0,"",P558/$P550)</f>
        <v>7.6923076923076927E-2</v>
      </c>
      <c r="R558" s="18"/>
    </row>
    <row r="559" spans="2:18" ht="15.75" customHeight="1" x14ac:dyDescent="0.2">
      <c r="B559" s="169"/>
      <c r="C559" s="31" t="s">
        <v>89</v>
      </c>
      <c r="D559" s="47">
        <f>VLOOKUP($B548,[1]Complaints!$A$4:$AJ$39,8,)</f>
        <v>0</v>
      </c>
      <c r="E559" s="48">
        <f>VLOOKUP($B548,[2]Complaints!$A$4:$AJ$39,8,)</f>
        <v>0</v>
      </c>
      <c r="F559" s="48">
        <f>VLOOKUP($B548,[3]Complaints!$A$4:$AJ$39,8,)</f>
        <v>0</v>
      </c>
      <c r="G559" s="48">
        <f>VLOOKUP($B548,[4]Complaints!$A$4:$AJ$39,8,)</f>
        <v>0</v>
      </c>
      <c r="H559" s="48">
        <f>VLOOKUP($B548,[5]Complaints!$A$4:$AJ$39,8,)</f>
        <v>1</v>
      </c>
      <c r="I559" s="48">
        <f>VLOOKUP($B548,[6]Complaints!$A$4:$AJ$39,8,)</f>
        <v>0</v>
      </c>
      <c r="J559" s="48">
        <f>VLOOKUP($B548,[7]Complaints!$A$4:$AJ$39,8,)</f>
        <v>1</v>
      </c>
      <c r="K559" s="48">
        <f>VLOOKUP($B548,[8]Complaints!$A$4:$AJ$39,8,)</f>
        <v>0</v>
      </c>
      <c r="L559" s="48">
        <f>VLOOKUP($B548,[9]Complaints!$A$4:$AJ$39,8,)</f>
        <v>1</v>
      </c>
      <c r="M559" s="48">
        <f>VLOOKUP($B548,[10]Complaints!$A$4:$AJ$39,8,)</f>
        <v>0</v>
      </c>
      <c r="N559" s="48">
        <f>VLOOKUP($B548,[11]Complaints!$A$4:$AJ$39,8,)</f>
        <v>0</v>
      </c>
      <c r="O559" s="49">
        <f>VLOOKUP($B548,[12]Complaints!$A$4:$AJ$39,8,)</f>
        <v>0</v>
      </c>
      <c r="P559" s="55">
        <f t="shared" ref="P559:P560" si="148">SUM(D559:O559)</f>
        <v>3</v>
      </c>
      <c r="Q559" s="50">
        <f>IF(P559="","",P559/$P550)</f>
        <v>0.23076923076923078</v>
      </c>
      <c r="R559" s="18"/>
    </row>
    <row r="560" spans="2:18" ht="15.75" customHeight="1" x14ac:dyDescent="0.2">
      <c r="B560" s="169"/>
      <c r="C560" s="31" t="s">
        <v>88</v>
      </c>
      <c r="D560" s="47">
        <f>VLOOKUP($B548,[1]Complaints!$A$4:$AJ$39,9,)</f>
        <v>0</v>
      </c>
      <c r="E560" s="48">
        <f>VLOOKUP($B548,[2]Complaints!$A$4:$AJ$39,9,)</f>
        <v>0</v>
      </c>
      <c r="F560" s="48">
        <f>VLOOKUP($B548,[3]Complaints!$A$4:$AJ$39,9,)</f>
        <v>0</v>
      </c>
      <c r="G560" s="48">
        <f>VLOOKUP($B548,[4]Complaints!$A$4:$AJ$39,9,)</f>
        <v>0</v>
      </c>
      <c r="H560" s="48">
        <f>VLOOKUP($B548,[5]Complaints!$A$4:$AJ$39,9,)</f>
        <v>1</v>
      </c>
      <c r="I560" s="48">
        <f>VLOOKUP($B548,[6]Complaints!$A$4:$AJ$39,9,)</f>
        <v>0</v>
      </c>
      <c r="J560" s="48">
        <f>VLOOKUP($B548,[7]Complaints!$A$4:$AJ$39,9,)</f>
        <v>0</v>
      </c>
      <c r="K560" s="48">
        <f>VLOOKUP($B548,[8]Complaints!$A$4:$AJ$39,9,)</f>
        <v>0</v>
      </c>
      <c r="L560" s="48">
        <f>VLOOKUP($B548,[9]Complaints!$A$4:$AJ$39,9,)</f>
        <v>0</v>
      </c>
      <c r="M560" s="48">
        <f>VLOOKUP($B548,[10]Complaints!$A$4:$AJ$39,9,)</f>
        <v>0</v>
      </c>
      <c r="N560" s="48">
        <f>VLOOKUP($B548,[11]Complaints!$A$4:$AJ$39,9,)</f>
        <v>0</v>
      </c>
      <c r="O560" s="49">
        <f>VLOOKUP($B548,[12]Complaints!$A$4:$AJ$39,9,)</f>
        <v>0</v>
      </c>
      <c r="P560" s="55">
        <f t="shared" si="148"/>
        <v>1</v>
      </c>
      <c r="Q560" s="50">
        <f>IF(P560=0,"",P560/$P550)</f>
        <v>7.6923076923076927E-2</v>
      </c>
      <c r="R560" s="18"/>
    </row>
    <row r="561" spans="2:18" ht="15.75" customHeight="1" x14ac:dyDescent="0.2">
      <c r="B561" s="169"/>
      <c r="C561" s="31" t="s">
        <v>13</v>
      </c>
      <c r="D561" s="47">
        <f>VLOOKUP($B548,[1]Complaints!$A$4:$AJ$39,10,)</f>
        <v>0</v>
      </c>
      <c r="E561" s="48">
        <f>VLOOKUP($B548,[2]Complaints!$A$4:$AJ$39,10,)</f>
        <v>0</v>
      </c>
      <c r="F561" s="48">
        <f>VLOOKUP($B548,[3]Complaints!$A$4:$AJ$39,10,)</f>
        <v>0</v>
      </c>
      <c r="G561" s="48">
        <f>VLOOKUP($B548,[4]Complaints!$A$4:$AJ$39,10,)</f>
        <v>1</v>
      </c>
      <c r="H561" s="48">
        <f>VLOOKUP($B548,[5]Complaints!$A$4:$AJ$39,10,)</f>
        <v>1</v>
      </c>
      <c r="I561" s="48">
        <f>VLOOKUP($B548,[6]Complaints!$A$4:$AJ$39,10,)</f>
        <v>0</v>
      </c>
      <c r="J561" s="48">
        <f>VLOOKUP($B548,[7]Complaints!$A$4:$AJ$39,10,)</f>
        <v>1</v>
      </c>
      <c r="K561" s="48">
        <f>VLOOKUP($B548,[8]Complaints!$A$4:$AJ$39,10,)</f>
        <v>0</v>
      </c>
      <c r="L561" s="48">
        <f>VLOOKUP($B548,[9]Complaints!$A$4:$AJ$39,10,)</f>
        <v>0</v>
      </c>
      <c r="M561" s="48">
        <f>VLOOKUP($B548,[10]Complaints!$A$4:$AJ$39,10,)</f>
        <v>0</v>
      </c>
      <c r="N561" s="48">
        <f>VLOOKUP($B548,[11]Complaints!$A$4:$AJ$39,10,)</f>
        <v>0</v>
      </c>
      <c r="O561" s="49">
        <f>VLOOKUP($B548,[12]Complaints!$A$4:$AJ$39,10,)</f>
        <v>0</v>
      </c>
      <c r="P561" s="55">
        <f>SUM(D561:O561)</f>
        <v>3</v>
      </c>
      <c r="Q561" s="50">
        <f>IF(P561=0,"",P561/$P550)</f>
        <v>0.23076923076923078</v>
      </c>
      <c r="R561" s="18"/>
    </row>
    <row r="562" spans="2:18" ht="15.75" customHeight="1" x14ac:dyDescent="0.2">
      <c r="B562" s="169"/>
      <c r="C562" s="31" t="s">
        <v>101</v>
      </c>
      <c r="D562" s="47">
        <f>VLOOKUP($B548,[1]Complaints!$A$4:$AJ$39,11,)</f>
        <v>0</v>
      </c>
      <c r="E562" s="48">
        <f>VLOOKUP($B548,[2]Complaints!$A$4:$AJ$39,11,)</f>
        <v>0</v>
      </c>
      <c r="F562" s="48">
        <f>VLOOKUP($B548,[3]Complaints!$A$4:$AJ$39,11,)</f>
        <v>0</v>
      </c>
      <c r="G562" s="48">
        <f>VLOOKUP($B548,[4]Complaints!$A$4:$AJ$39,11,)</f>
        <v>0</v>
      </c>
      <c r="H562" s="48">
        <f>VLOOKUP($B548,[5]Complaints!$A$4:$AJ$39,11,)</f>
        <v>0</v>
      </c>
      <c r="I562" s="48">
        <f>VLOOKUP($B548,[6]Complaints!$A$4:$AJ$39,11,)</f>
        <v>0</v>
      </c>
      <c r="J562" s="48">
        <f>VLOOKUP($B548,[7]Complaints!$A$4:$AJ$39,11,)</f>
        <v>0</v>
      </c>
      <c r="K562" s="48">
        <f>VLOOKUP($B548,[8]Complaints!$A$4:$AJ$39,11,)</f>
        <v>0</v>
      </c>
      <c r="L562" s="48">
        <f>VLOOKUP($B548,[9]Complaints!$A$4:$AJ$39,11,)</f>
        <v>0</v>
      </c>
      <c r="M562" s="48">
        <f>VLOOKUP($B548,[10]Complaints!$A$4:$AJ$39,11,)</f>
        <v>0</v>
      </c>
      <c r="N562" s="48">
        <f>VLOOKUP($B548,[11]Complaints!$A$4:$AJ$39,11,)</f>
        <v>0</v>
      </c>
      <c r="O562" s="49">
        <f>VLOOKUP($B548,[12]Complaints!$A$4:$AJ$39,11,)</f>
        <v>0</v>
      </c>
      <c r="P562" s="55">
        <f t="shared" ref="P562:P571" si="149">SUM(D562:O562)</f>
        <v>0</v>
      </c>
      <c r="Q562" s="50" t="str">
        <f>IF(P562=0,"",P562/$P550)</f>
        <v/>
      </c>
      <c r="R562" s="18"/>
    </row>
    <row r="563" spans="2:18" s="19" customFormat="1" ht="15.75" customHeight="1" x14ac:dyDescent="0.2">
      <c r="B563" s="169"/>
      <c r="C563" s="31" t="s">
        <v>93</v>
      </c>
      <c r="D563" s="47">
        <f>VLOOKUP($B548,[1]Complaints!$A$4:$AJ$39,12,)</f>
        <v>0</v>
      </c>
      <c r="E563" s="48">
        <f>VLOOKUP($B548,[2]Complaints!$A$4:$AJ$39,12,)</f>
        <v>0</v>
      </c>
      <c r="F563" s="48">
        <f>VLOOKUP($B548,[3]Complaints!$A$4:$AJ$39,12,)</f>
        <v>0</v>
      </c>
      <c r="G563" s="48">
        <f>VLOOKUP($B548,[4]Complaints!$A$4:$AJ$39,12,)</f>
        <v>0</v>
      </c>
      <c r="H563" s="48">
        <f>VLOOKUP($B548,[5]Complaints!$A$4:$AJ$39,12,)</f>
        <v>0</v>
      </c>
      <c r="I563" s="48">
        <f>VLOOKUP($B548,[6]Complaints!$A$4:$AJ$39,12,)</f>
        <v>0</v>
      </c>
      <c r="J563" s="48">
        <f>VLOOKUP($B548,[7]Complaints!$A$4:$AJ$39,12,)</f>
        <v>0</v>
      </c>
      <c r="K563" s="48">
        <f>VLOOKUP($B548,[8]Complaints!$A$4:$AJ$39,12,)</f>
        <v>0</v>
      </c>
      <c r="L563" s="48">
        <f>VLOOKUP($B548,[9]Complaints!$A$4:$AJ$39,12,)</f>
        <v>0</v>
      </c>
      <c r="M563" s="48">
        <f>VLOOKUP($B548,[10]Complaints!$A$4:$AJ$39,12,)</f>
        <v>1</v>
      </c>
      <c r="N563" s="48">
        <f>VLOOKUP($B548,[11]Complaints!$A$4:$AJ$39,12,)</f>
        <v>0</v>
      </c>
      <c r="O563" s="49">
        <f>VLOOKUP($B548,[12]Complaints!$A$4:$AJ$39,12,)</f>
        <v>0</v>
      </c>
      <c r="P563" s="55">
        <f t="shared" si="149"/>
        <v>1</v>
      </c>
      <c r="Q563" s="50">
        <f>IF(P563=0,"",P563/$P550)</f>
        <v>7.6923076923076927E-2</v>
      </c>
    </row>
    <row r="564" spans="2:18" ht="15.75" customHeight="1" x14ac:dyDescent="0.2">
      <c r="B564" s="169"/>
      <c r="C564" s="31" t="s">
        <v>78</v>
      </c>
      <c r="D564" s="47">
        <f>VLOOKUP($B548,[1]Complaints!$A$4:$AJ$39,13,)</f>
        <v>0</v>
      </c>
      <c r="E564" s="48">
        <f>VLOOKUP($B548,[2]Complaints!$A$4:$AJ$39,13,)</f>
        <v>0</v>
      </c>
      <c r="F564" s="48">
        <f>VLOOKUP($B548,[3]Complaints!$A$4:$AJ$39,13,)</f>
        <v>0</v>
      </c>
      <c r="G564" s="48">
        <f>VLOOKUP($B548,[4]Complaints!$A$4:$AJ$39,13,)</f>
        <v>0</v>
      </c>
      <c r="H564" s="48">
        <f>VLOOKUP($B548,[5]Complaints!$A$4:$AJ$39,13,)</f>
        <v>0</v>
      </c>
      <c r="I564" s="48">
        <f>VLOOKUP($B548,[6]Complaints!$A$4:$AJ$39,13,)</f>
        <v>0</v>
      </c>
      <c r="J564" s="48">
        <f>VLOOKUP($B548,[7]Complaints!$A$4:$AJ$39,13,)</f>
        <v>0</v>
      </c>
      <c r="K564" s="48">
        <f>VLOOKUP($B548,[8]Complaints!$A$4:$AJ$39,13,)</f>
        <v>0</v>
      </c>
      <c r="L564" s="48">
        <f>VLOOKUP($B548,[9]Complaints!$A$4:$AJ$39,13,)</f>
        <v>0</v>
      </c>
      <c r="M564" s="48">
        <f>VLOOKUP($B548,[10]Complaints!$A$4:$AJ$39,13,)</f>
        <v>0</v>
      </c>
      <c r="N564" s="48">
        <f>VLOOKUP($B548,[11]Complaints!$A$4:$AJ$39,13,)</f>
        <v>0</v>
      </c>
      <c r="O564" s="49">
        <f>VLOOKUP($B548,[12]Complaints!$A$4:$AJ$39,13,)</f>
        <v>0</v>
      </c>
      <c r="P564" s="55">
        <f t="shared" si="149"/>
        <v>0</v>
      </c>
      <c r="Q564" s="50" t="str">
        <f>IF(P564=0,"",P564/$P550)</f>
        <v/>
      </c>
      <c r="R564" s="18"/>
    </row>
    <row r="565" spans="2:18" ht="15.75" customHeight="1" x14ac:dyDescent="0.2">
      <c r="B565" s="169"/>
      <c r="C565" s="31" t="s">
        <v>92</v>
      </c>
      <c r="D565" s="47">
        <f>VLOOKUP($B548,[1]Complaints!$A$4:$AJ$39,14,)</f>
        <v>0</v>
      </c>
      <c r="E565" s="48">
        <f>VLOOKUP($B548,[2]Complaints!$A$4:$AJ$39,14,)</f>
        <v>0</v>
      </c>
      <c r="F565" s="48">
        <f>VLOOKUP($B548,[3]Complaints!$A$4:$AJ$39,14,)</f>
        <v>0</v>
      </c>
      <c r="G565" s="48">
        <f>VLOOKUP($B548,[4]Complaints!$A$4:$AJ$39,14,)</f>
        <v>0</v>
      </c>
      <c r="H565" s="48">
        <f>VLOOKUP($B548,[5]Complaints!$A$4:$AJ$39,14,)</f>
        <v>0</v>
      </c>
      <c r="I565" s="48">
        <f>VLOOKUP($B548,[6]Complaints!$A$4:$AJ$39,14,)</f>
        <v>0</v>
      </c>
      <c r="J565" s="48">
        <f>VLOOKUP($B548,[7]Complaints!$A$4:$AJ$39,14,)</f>
        <v>0</v>
      </c>
      <c r="K565" s="48">
        <f>VLOOKUP($B548,[8]Complaints!$A$4:$AJ$39,14,)</f>
        <v>0</v>
      </c>
      <c r="L565" s="48">
        <f>VLOOKUP($B548,[9]Complaints!$A$4:$AJ$39,14,)</f>
        <v>0</v>
      </c>
      <c r="M565" s="48">
        <f>VLOOKUP($B548,[10]Complaints!$A$4:$AJ$39,14,)</f>
        <v>0</v>
      </c>
      <c r="N565" s="48">
        <f>VLOOKUP($B548,[11]Complaints!$A$4:$AJ$39,14,)</f>
        <v>0</v>
      </c>
      <c r="O565" s="49">
        <f>VLOOKUP($B548,[12]Complaints!$A$4:$AJ$39,14,)</f>
        <v>0</v>
      </c>
      <c r="P565" s="55">
        <f t="shared" si="149"/>
        <v>0</v>
      </c>
      <c r="Q565" s="50" t="str">
        <f>IF(P565=0,"",P565/$P550)</f>
        <v/>
      </c>
      <c r="R565" s="18"/>
    </row>
    <row r="566" spans="2:18" ht="15.75" customHeight="1" x14ac:dyDescent="0.2">
      <c r="B566" s="169"/>
      <c r="C566" s="31" t="s">
        <v>91</v>
      </c>
      <c r="D566" s="47">
        <f>VLOOKUP($B548,[1]Complaints!$A$4:$AJ$39,15,)</f>
        <v>0</v>
      </c>
      <c r="E566" s="48">
        <f>VLOOKUP($B548,[2]Complaints!$A$4:$AJ$39,15,)</f>
        <v>0</v>
      </c>
      <c r="F566" s="48">
        <f>VLOOKUP($B548,[3]Complaints!$A$4:$AJ$39,15,)</f>
        <v>0</v>
      </c>
      <c r="G566" s="48">
        <f>VLOOKUP($B548,[4]Complaints!$A$4:$AJ$39,15,)</f>
        <v>0</v>
      </c>
      <c r="H566" s="48">
        <f>VLOOKUP($B548,[5]Complaints!$A$4:$AJ$39,15,)</f>
        <v>0</v>
      </c>
      <c r="I566" s="48">
        <f>VLOOKUP($B548,[6]Complaints!$A$4:$AJ$39,15,)</f>
        <v>1</v>
      </c>
      <c r="J566" s="48">
        <f>VLOOKUP($B548,[7]Complaints!$A$4:$AJ$39,15,)</f>
        <v>0</v>
      </c>
      <c r="K566" s="48">
        <f>VLOOKUP($B548,[8]Complaints!$A$4:$AJ$39,15,)</f>
        <v>0</v>
      </c>
      <c r="L566" s="48">
        <f>VLOOKUP($B548,[9]Complaints!$A$4:$AJ$39,15,)</f>
        <v>1</v>
      </c>
      <c r="M566" s="48">
        <f>VLOOKUP($B548,[10]Complaints!$A$4:$AJ$39,15,)</f>
        <v>0</v>
      </c>
      <c r="N566" s="48">
        <f>VLOOKUP($B548,[11]Complaints!$A$4:$AJ$39,15,)</f>
        <v>0</v>
      </c>
      <c r="O566" s="49">
        <f>VLOOKUP($B548,[12]Complaints!$A$4:$AJ$39,15,)</f>
        <v>0</v>
      </c>
      <c r="P566" s="55">
        <f t="shared" si="149"/>
        <v>2</v>
      </c>
      <c r="Q566" s="50">
        <f>IF(P566=0,"",P566/$P550)</f>
        <v>0.15384615384615385</v>
      </c>
      <c r="R566" s="18"/>
    </row>
    <row r="567" spans="2:18" ht="15.75" customHeight="1" x14ac:dyDescent="0.2">
      <c r="B567" s="169"/>
      <c r="C567" s="31" t="s">
        <v>79</v>
      </c>
      <c r="D567" s="47">
        <f>VLOOKUP($B548,[1]Complaints!$A$4:$AJ$39,16,)</f>
        <v>0</v>
      </c>
      <c r="E567" s="48">
        <f>VLOOKUP($B548,[2]Complaints!$A$4:$AJ$39,16,)</f>
        <v>0</v>
      </c>
      <c r="F567" s="48">
        <f>VLOOKUP($B548,[3]Complaints!$A$4:$AJ$39,16,)</f>
        <v>0</v>
      </c>
      <c r="G567" s="48">
        <f>VLOOKUP($B548,[4]Complaints!$A$4:$AJ$39,16,)</f>
        <v>0</v>
      </c>
      <c r="H567" s="48">
        <f>VLOOKUP($B548,[5]Complaints!$A$4:$AJ$39,16,)</f>
        <v>0</v>
      </c>
      <c r="I567" s="48">
        <f>VLOOKUP($B548,[6]Complaints!$A$4:$AJ$39,16,)</f>
        <v>0</v>
      </c>
      <c r="J567" s="48">
        <f>VLOOKUP($B548,[7]Complaints!$A$4:$AJ$39,16,)</f>
        <v>0</v>
      </c>
      <c r="K567" s="48">
        <f>VLOOKUP($B548,[8]Complaints!$A$4:$AJ$39,16,)</f>
        <v>0</v>
      </c>
      <c r="L567" s="48">
        <f>VLOOKUP($B548,[9]Complaints!$A$4:$AJ$39,16,)</f>
        <v>0</v>
      </c>
      <c r="M567" s="48">
        <f>VLOOKUP($B548,[10]Complaints!$A$4:$AJ$39,16,)</f>
        <v>0</v>
      </c>
      <c r="N567" s="48">
        <f>VLOOKUP($B548,[11]Complaints!$A$4:$AJ$39,16,)</f>
        <v>0</v>
      </c>
      <c r="O567" s="49">
        <f>VLOOKUP($B548,[12]Complaints!$A$4:$AJ$39,16,)</f>
        <v>0</v>
      </c>
      <c r="P567" s="55">
        <f t="shared" si="149"/>
        <v>0</v>
      </c>
      <c r="Q567" s="50" t="str">
        <f>IF(P567=0,"",P567/$P550)</f>
        <v/>
      </c>
      <c r="R567" s="18"/>
    </row>
    <row r="568" spans="2:18" ht="15.75" customHeight="1" x14ac:dyDescent="0.2">
      <c r="B568" s="169"/>
      <c r="C568" s="31" t="s">
        <v>80</v>
      </c>
      <c r="D568" s="47">
        <f>VLOOKUP($B548,[1]Complaints!$A$4:$AJ$39,17,)</f>
        <v>0</v>
      </c>
      <c r="E568" s="48">
        <f>VLOOKUP($B548,[2]Complaints!$A$4:$AJ$39,17,)</f>
        <v>0</v>
      </c>
      <c r="F568" s="48">
        <f>VLOOKUP($B548,[3]Complaints!$A$4:$AJ$39,17,)</f>
        <v>0</v>
      </c>
      <c r="G568" s="48">
        <f>VLOOKUP($B548,[4]Complaints!$A$4:$AJ$39,17,)</f>
        <v>0</v>
      </c>
      <c r="H568" s="48">
        <f>VLOOKUP($B548,[5]Complaints!$A$4:$AJ$39,17,)</f>
        <v>0</v>
      </c>
      <c r="I568" s="48">
        <f>VLOOKUP($B548,[6]Complaints!$A$4:$AJ$39,17,)</f>
        <v>0</v>
      </c>
      <c r="J568" s="48">
        <f>VLOOKUP($B548,[7]Complaints!$A$4:$AJ$39,17,)</f>
        <v>0</v>
      </c>
      <c r="K568" s="48">
        <f>VLOOKUP($B548,[8]Complaints!$A$4:$AJ$39,17,)</f>
        <v>0</v>
      </c>
      <c r="L568" s="48">
        <f>VLOOKUP($B548,[9]Complaints!$A$4:$AJ$39,17,)</f>
        <v>0</v>
      </c>
      <c r="M568" s="48">
        <f>VLOOKUP($B548,[10]Complaints!$A$4:$AJ$39,17,)</f>
        <v>0</v>
      </c>
      <c r="N568" s="48">
        <f>VLOOKUP($B548,[11]Complaints!$A$4:$AJ$39,17,)</f>
        <v>0</v>
      </c>
      <c r="O568" s="49">
        <f>VLOOKUP($B548,[12]Complaints!$A$4:$AJ$39,17,)</f>
        <v>0</v>
      </c>
      <c r="P568" s="55">
        <f t="shared" si="149"/>
        <v>0</v>
      </c>
      <c r="Q568" s="50" t="str">
        <f>IF(P568=0,"",P568/$P550)</f>
        <v/>
      </c>
      <c r="R568" s="18"/>
    </row>
    <row r="569" spans="2:18" ht="15.75" customHeight="1" x14ac:dyDescent="0.2">
      <c r="B569" s="169"/>
      <c r="C569" s="31" t="s">
        <v>81</v>
      </c>
      <c r="D569" s="47">
        <f>VLOOKUP($B548,[1]Complaints!$A$4:$AJ$39,18,)</f>
        <v>0</v>
      </c>
      <c r="E569" s="48">
        <f>VLOOKUP($B548,[2]Complaints!$A$4:$AJ$39,18,)</f>
        <v>0</v>
      </c>
      <c r="F569" s="48">
        <f>VLOOKUP($B548,[3]Complaints!$A$4:$AJ$39,18,)</f>
        <v>0</v>
      </c>
      <c r="G569" s="48">
        <f>VLOOKUP($B548,[4]Complaints!$A$4:$AJ$39,18,)</f>
        <v>0</v>
      </c>
      <c r="H569" s="48">
        <f>VLOOKUP($B548,[5]Complaints!$A$4:$AJ$39,18,)</f>
        <v>0</v>
      </c>
      <c r="I569" s="48">
        <f>VLOOKUP($B548,[6]Complaints!$A$4:$AJ$39,18,)</f>
        <v>0</v>
      </c>
      <c r="J569" s="48">
        <f>VLOOKUP($B548,[7]Complaints!$A$4:$AJ$39,18,)</f>
        <v>0</v>
      </c>
      <c r="K569" s="48">
        <f>VLOOKUP($B548,[8]Complaints!$A$4:$AJ$39,18,)</f>
        <v>0</v>
      </c>
      <c r="L569" s="48">
        <f>VLOOKUP($B548,[9]Complaints!$A$4:$AJ$39,18,)</f>
        <v>0</v>
      </c>
      <c r="M569" s="48">
        <f>VLOOKUP($B548,[10]Complaints!$A$4:$AJ$39,18,)</f>
        <v>0</v>
      </c>
      <c r="N569" s="48">
        <f>VLOOKUP($B548,[11]Complaints!$A$4:$AJ$39,18,)</f>
        <v>0</v>
      </c>
      <c r="O569" s="49">
        <f>VLOOKUP($B548,[12]Complaints!$A$4:$AJ$39,18,)</f>
        <v>0</v>
      </c>
      <c r="P569" s="55">
        <f t="shared" si="149"/>
        <v>0</v>
      </c>
      <c r="Q569" s="50" t="str">
        <f>IF(P569=0,"",P569/$P550)</f>
        <v/>
      </c>
      <c r="R569" s="18"/>
    </row>
    <row r="570" spans="2:18" ht="15.75" customHeight="1" x14ac:dyDescent="0.2">
      <c r="B570" s="169"/>
      <c r="C570" s="31" t="s">
        <v>82</v>
      </c>
      <c r="D570" s="47">
        <f>VLOOKUP($B548,[1]Complaints!$A$4:$AJ$39,19,)</f>
        <v>0</v>
      </c>
      <c r="E570" s="48">
        <f>VLOOKUP($B548,[2]Complaints!$A$4:$AJ$39,19,)</f>
        <v>0</v>
      </c>
      <c r="F570" s="48">
        <f>VLOOKUP($B548,[3]Complaints!$A$4:$AJ$39,19,)</f>
        <v>0</v>
      </c>
      <c r="G570" s="48">
        <f>VLOOKUP($B548,[4]Complaints!$A$4:$AJ$39,19,)</f>
        <v>0</v>
      </c>
      <c r="H570" s="48">
        <f>VLOOKUP($B548,[5]Complaints!$A$4:$AJ$39,19,)</f>
        <v>0</v>
      </c>
      <c r="I570" s="48">
        <f>VLOOKUP($B548,[6]Complaints!$A$4:$AJ$39,19,)</f>
        <v>0</v>
      </c>
      <c r="J570" s="48">
        <f>VLOOKUP($B548,[7]Complaints!$A$4:$AJ$39,19,)</f>
        <v>0</v>
      </c>
      <c r="K570" s="48">
        <f>VLOOKUP($B548,[8]Complaints!$A$4:$AJ$39,19,)</f>
        <v>0</v>
      </c>
      <c r="L570" s="48">
        <f>VLOOKUP($B548,[9]Complaints!$A$4:$AJ$39,19,)</f>
        <v>0</v>
      </c>
      <c r="M570" s="48">
        <f>VLOOKUP($B548,[10]Complaints!$A$4:$AJ$39,19,)</f>
        <v>0</v>
      </c>
      <c r="N570" s="48">
        <f>VLOOKUP($B548,[11]Complaints!$A$4:$AJ$39,19,)</f>
        <v>0</v>
      </c>
      <c r="O570" s="49">
        <f>VLOOKUP($B548,[12]Complaints!$A$4:$AJ$39,19,)</f>
        <v>0</v>
      </c>
      <c r="P570" s="55">
        <f t="shared" si="149"/>
        <v>0</v>
      </c>
      <c r="Q570" s="50" t="str">
        <f>IF(P570=0,"",P570/$P550)</f>
        <v/>
      </c>
      <c r="R570" s="18"/>
    </row>
    <row r="571" spans="2:18" ht="15.75" customHeight="1" thickBot="1" x14ac:dyDescent="0.25">
      <c r="B571" s="170"/>
      <c r="C571" s="31" t="s">
        <v>83</v>
      </c>
      <c r="D571" s="47">
        <f>VLOOKUP($B548,[1]Complaints!$A$4:$AJ$39,20,)</f>
        <v>0</v>
      </c>
      <c r="E571" s="48">
        <f>VLOOKUP($B548,[2]Complaints!$A$4:$AJ$39,20,)</f>
        <v>0</v>
      </c>
      <c r="F571" s="48">
        <f>VLOOKUP($B548,[3]Complaints!$A$4:$AJ$39,20,)</f>
        <v>0</v>
      </c>
      <c r="G571" s="48">
        <f>VLOOKUP($B548,[4]Complaints!$A$4:$AJ$39,20,)</f>
        <v>0</v>
      </c>
      <c r="H571" s="48">
        <f>VLOOKUP($B548,[5]Complaints!$A$4:$AJ$39,20,)</f>
        <v>0</v>
      </c>
      <c r="I571" s="48">
        <f>VLOOKUP($B548,[6]Complaints!$A$4:$AJ$39,20,)</f>
        <v>0</v>
      </c>
      <c r="J571" s="48">
        <f>VLOOKUP($B548,[7]Complaints!$A$4:$AJ$39,20,)</f>
        <v>0</v>
      </c>
      <c r="K571" s="48">
        <f>VLOOKUP($B548,[8]Complaints!$A$4:$AJ$39,20,)</f>
        <v>0</v>
      </c>
      <c r="L571" s="48">
        <f>VLOOKUP($B548,[9]Complaints!$A$4:$AJ$39,20,)</f>
        <v>0</v>
      </c>
      <c r="M571" s="48">
        <f>VLOOKUP($B548,[10]Complaints!$A$4:$AJ$39,20,)</f>
        <v>0</v>
      </c>
      <c r="N571" s="48">
        <f>VLOOKUP($B548,[11]Complaints!$A$4:$AJ$39,20,)</f>
        <v>0</v>
      </c>
      <c r="O571" s="49">
        <f>VLOOKUP($B548,[12]Complaints!$A$4:$AJ$39,20,)</f>
        <v>0</v>
      </c>
      <c r="P571" s="55">
        <f t="shared" si="149"/>
        <v>0</v>
      </c>
      <c r="Q571" s="50" t="str">
        <f>IF(P571=0,"",P571/$P550)</f>
        <v/>
      </c>
      <c r="R571" s="18"/>
    </row>
    <row r="572" spans="2:18" ht="15.75" customHeight="1" x14ac:dyDescent="0.2">
      <c r="B572" s="144" t="s">
        <v>90</v>
      </c>
      <c r="C572" s="37" t="s">
        <v>118</v>
      </c>
      <c r="D572" s="62">
        <f>VLOOKUP($B548,[1]Complaints!$A$4:$AJ$39,21,)</f>
        <v>0</v>
      </c>
      <c r="E572" s="63">
        <f>VLOOKUP($B548,[2]Complaints!$A$4:$AJ$39,21,)</f>
        <v>0</v>
      </c>
      <c r="F572" s="63">
        <f>VLOOKUP($B548,[3]Complaints!$A$4:$AJ$39,21,)</f>
        <v>0</v>
      </c>
      <c r="G572" s="63">
        <f>VLOOKUP($B548,[4]Complaints!$A$4:$AJ$39,21,)</f>
        <v>0</v>
      </c>
      <c r="H572" s="63">
        <f>VLOOKUP($B548,[5]Complaints!$A$4:$AJ$39,21,)</f>
        <v>1</v>
      </c>
      <c r="I572" s="63">
        <f>VLOOKUP($B548,[6]Complaints!$A$4:$AJ$39,21,)</f>
        <v>0</v>
      </c>
      <c r="J572" s="63">
        <f>VLOOKUP($B548,[7]Complaints!$A$4:$AJ$39,21,)</f>
        <v>1</v>
      </c>
      <c r="K572" s="63">
        <f>VLOOKUP($B548,[8]Complaints!$A$4:$AJ$39,21,)</f>
        <v>1</v>
      </c>
      <c r="L572" s="63">
        <f>VLOOKUP($B548,[9]Complaints!$A$4:$AJ$39,21,)</f>
        <v>1</v>
      </c>
      <c r="M572" s="63">
        <f>VLOOKUP($B548,[10]Complaints!$A$4:$AJ$39,21,)</f>
        <v>2</v>
      </c>
      <c r="N572" s="63">
        <f>VLOOKUP($B548,[11]Complaints!$A$4:$AJ$39,21,)</f>
        <v>0</v>
      </c>
      <c r="O572" s="64">
        <f>VLOOKUP($B548,[12]Complaints!$A$4:$AJ$39,21,)</f>
        <v>0</v>
      </c>
      <c r="P572" s="65">
        <f>SUM(D572:O572)</f>
        <v>6</v>
      </c>
      <c r="Q572" s="46">
        <f>IF(P572=0,"",P572/$P556)</f>
        <v>0.75</v>
      </c>
      <c r="R572" s="18"/>
    </row>
    <row r="573" spans="2:18" ht="15.75" customHeight="1" x14ac:dyDescent="0.2">
      <c r="B573" s="145"/>
      <c r="C573" s="38" t="s">
        <v>77</v>
      </c>
      <c r="D573" s="66">
        <f>VLOOKUP($B548,[1]Complaints!$A$4:$AJ$39,22,)</f>
        <v>0</v>
      </c>
      <c r="E573" s="67">
        <f>VLOOKUP($B548,[2]Complaints!$A$4:$AJ$39,22,)</f>
        <v>0</v>
      </c>
      <c r="F573" s="67">
        <f>VLOOKUP($B548,[3]Complaints!$A$4:$AJ$39,22,)</f>
        <v>0</v>
      </c>
      <c r="G573" s="67">
        <f>VLOOKUP($B548,[4]Complaints!$A$4:$AJ$39,22,)</f>
        <v>0</v>
      </c>
      <c r="H573" s="67">
        <f>VLOOKUP($B548,[5]Complaints!$A$4:$AJ$39,22,)</f>
        <v>0</v>
      </c>
      <c r="I573" s="67">
        <f>VLOOKUP($B548,[6]Complaints!$A$4:$AJ$39,22,)</f>
        <v>0</v>
      </c>
      <c r="J573" s="67">
        <f>VLOOKUP($B548,[7]Complaints!$A$4:$AJ$39,22,)</f>
        <v>0</v>
      </c>
      <c r="K573" s="67">
        <f>VLOOKUP($B548,[8]Complaints!$A$4:$AJ$39,22,)</f>
        <v>0</v>
      </c>
      <c r="L573" s="67">
        <f>VLOOKUP($B548,[9]Complaints!$A$4:$AJ$39,22,)</f>
        <v>0</v>
      </c>
      <c r="M573" s="67">
        <f>VLOOKUP($B548,[10]Complaints!$A$4:$AJ$39,22,)</f>
        <v>1</v>
      </c>
      <c r="N573" s="67">
        <f>VLOOKUP($B548,[11]Complaints!$A$4:$AJ$39,22,)</f>
        <v>0</v>
      </c>
      <c r="O573" s="68">
        <f>VLOOKUP($B548,[12]Complaints!$A$4:$AJ$39,22,)</f>
        <v>0</v>
      </c>
      <c r="P573" s="69">
        <f t="shared" ref="P573:P587" si="150">SUM(D573:O573)</f>
        <v>1</v>
      </c>
      <c r="Q573" s="70">
        <f>IF(P573=0,"",P573/$P556)</f>
        <v>0.125</v>
      </c>
      <c r="R573" s="18"/>
    </row>
    <row r="574" spans="2:18" ht="15.75" customHeight="1" x14ac:dyDescent="0.2">
      <c r="B574" s="145"/>
      <c r="C574" s="38" t="s">
        <v>108</v>
      </c>
      <c r="D574" s="66">
        <f>VLOOKUP($B548,[1]Complaints!$A$4:$AJ$39,23,)</f>
        <v>0</v>
      </c>
      <c r="E574" s="67">
        <f>VLOOKUP($B548,[2]Complaints!$A$4:$AJ$39,23,)</f>
        <v>0</v>
      </c>
      <c r="F574" s="67">
        <f>VLOOKUP($B548,[3]Complaints!$A$4:$AJ$39,23,)</f>
        <v>0</v>
      </c>
      <c r="G574" s="67">
        <f>VLOOKUP($B548,[4]Complaints!$A$4:$AJ$39,23,)</f>
        <v>0</v>
      </c>
      <c r="H574" s="67">
        <f>VLOOKUP($B548,[5]Complaints!$A$4:$AJ$39,23,)</f>
        <v>1</v>
      </c>
      <c r="I574" s="67">
        <f>VLOOKUP($B548,[6]Complaints!$A$4:$AJ$39,23,)</f>
        <v>0</v>
      </c>
      <c r="J574" s="67">
        <f>VLOOKUP($B548,[7]Complaints!$A$4:$AJ$39,23,)</f>
        <v>1</v>
      </c>
      <c r="K574" s="67">
        <f>VLOOKUP($B548,[8]Complaints!$A$4:$AJ$39,23,)</f>
        <v>1</v>
      </c>
      <c r="L574" s="67">
        <f>VLOOKUP($B548,[9]Complaints!$A$4:$AJ$39,23,)</f>
        <v>1</v>
      </c>
      <c r="M574" s="67">
        <f>VLOOKUP($B548,[10]Complaints!$A$4:$AJ$39,23,)</f>
        <v>0</v>
      </c>
      <c r="N574" s="67">
        <f>VLOOKUP($B548,[11]Complaints!$A$4:$AJ$39,23,)</f>
        <v>0</v>
      </c>
      <c r="O574" s="68">
        <f>VLOOKUP($B548,[12]Complaints!$A$4:$AJ$39,23,)</f>
        <v>0</v>
      </c>
      <c r="P574" s="69">
        <f t="shared" si="150"/>
        <v>4</v>
      </c>
      <c r="Q574" s="70">
        <f>IF(P574=0,"",P574/$P556)</f>
        <v>0.5</v>
      </c>
      <c r="R574" s="18"/>
    </row>
    <row r="575" spans="2:18" ht="15.75" customHeight="1" x14ac:dyDescent="0.2">
      <c r="B575" s="145"/>
      <c r="C575" s="38" t="s">
        <v>88</v>
      </c>
      <c r="D575" s="66">
        <f>VLOOKUP($B548,[1]Complaints!$A$4:$AJ$39,24,)</f>
        <v>0</v>
      </c>
      <c r="E575" s="67">
        <f>VLOOKUP($B548,[2]Complaints!$A$4:$AJ$39,24,)</f>
        <v>0</v>
      </c>
      <c r="F575" s="67">
        <f>VLOOKUP($B548,[3]Complaints!$A$4:$AJ$39,24,)</f>
        <v>0</v>
      </c>
      <c r="G575" s="67">
        <f>VLOOKUP($B548,[4]Complaints!$A$4:$AJ$39,24,)</f>
        <v>0</v>
      </c>
      <c r="H575" s="67">
        <f>VLOOKUP($B548,[5]Complaints!$A$4:$AJ$39,24,)</f>
        <v>0</v>
      </c>
      <c r="I575" s="67">
        <f>VLOOKUP($B548,[6]Complaints!$A$4:$AJ$39,24,)</f>
        <v>0</v>
      </c>
      <c r="J575" s="67">
        <f>VLOOKUP($B548,[7]Complaints!$A$4:$AJ$39,24,)</f>
        <v>0</v>
      </c>
      <c r="K575" s="67">
        <f>VLOOKUP($B548,[8]Complaints!$A$4:$AJ$39,24,)</f>
        <v>0</v>
      </c>
      <c r="L575" s="67">
        <f>VLOOKUP($B548,[9]Complaints!$A$4:$AJ$39,24,)</f>
        <v>0</v>
      </c>
      <c r="M575" s="67">
        <f>VLOOKUP($B548,[10]Complaints!$A$4:$AJ$39,24,)</f>
        <v>0</v>
      </c>
      <c r="N575" s="67">
        <f>VLOOKUP($B548,[11]Complaints!$A$4:$AJ$39,24,)</f>
        <v>0</v>
      </c>
      <c r="O575" s="68">
        <f>VLOOKUP($B548,[12]Complaints!$A$4:$AJ$39,24,)</f>
        <v>0</v>
      </c>
      <c r="P575" s="69">
        <f t="shared" si="150"/>
        <v>0</v>
      </c>
      <c r="Q575" s="70" t="str">
        <f>IF(P575=0,"",P575/$P556)</f>
        <v/>
      </c>
      <c r="R575" s="18"/>
    </row>
    <row r="576" spans="2:18" ht="15.75" customHeight="1" x14ac:dyDescent="0.2">
      <c r="B576" s="145"/>
      <c r="C576" s="38" t="s">
        <v>109</v>
      </c>
      <c r="D576" s="66">
        <f>VLOOKUP($B548,[1]Complaints!$A$4:$AJ$39,25,)</f>
        <v>0</v>
      </c>
      <c r="E576" s="67">
        <f>VLOOKUP($B548,[2]Complaints!$A$4:$AJ$39,25,)</f>
        <v>0</v>
      </c>
      <c r="F576" s="67">
        <f>VLOOKUP($B548,[3]Complaints!$A$4:$AJ$39,25,)</f>
        <v>0</v>
      </c>
      <c r="G576" s="67">
        <f>VLOOKUP($B548,[4]Complaints!$A$4:$AJ$39,25,)</f>
        <v>0</v>
      </c>
      <c r="H576" s="67">
        <f>VLOOKUP($B548,[5]Complaints!$A$4:$AJ$39,25,)</f>
        <v>0</v>
      </c>
      <c r="I576" s="67">
        <f>VLOOKUP($B548,[6]Complaints!$A$4:$AJ$39,25,)</f>
        <v>0</v>
      </c>
      <c r="J576" s="67">
        <f>VLOOKUP($B548,[7]Complaints!$A$4:$AJ$39,25,)</f>
        <v>0</v>
      </c>
      <c r="K576" s="67">
        <f>VLOOKUP($B548,[8]Complaints!$A$4:$AJ$39,25,)</f>
        <v>0</v>
      </c>
      <c r="L576" s="67">
        <f>VLOOKUP($B548,[9]Complaints!$A$4:$AJ$39,25,)</f>
        <v>0</v>
      </c>
      <c r="M576" s="67">
        <f>VLOOKUP($B548,[10]Complaints!$A$4:$AJ$39,25,)</f>
        <v>0</v>
      </c>
      <c r="N576" s="67">
        <f>VLOOKUP($B548,[11]Complaints!$A$4:$AJ$39,25,)</f>
        <v>0</v>
      </c>
      <c r="O576" s="68">
        <f>VLOOKUP($B548,[12]Complaints!$A$4:$AJ$39,25,)</f>
        <v>0</v>
      </c>
      <c r="P576" s="69">
        <f t="shared" si="150"/>
        <v>0</v>
      </c>
      <c r="Q576" s="70" t="str">
        <f>IF(P576=0,"",P576/$P556)</f>
        <v/>
      </c>
      <c r="R576" s="18"/>
    </row>
    <row r="577" spans="1:19" ht="15.75" customHeight="1" x14ac:dyDescent="0.2">
      <c r="A577" s="21"/>
      <c r="B577" s="145"/>
      <c r="C577" s="38" t="s">
        <v>110</v>
      </c>
      <c r="D577" s="66">
        <f>VLOOKUP($B548,[1]Complaints!$A$4:$AJ$39,26,)</f>
        <v>0</v>
      </c>
      <c r="E577" s="67">
        <f>VLOOKUP($B548,[2]Complaints!$A$4:$AJ$39,26,)</f>
        <v>0</v>
      </c>
      <c r="F577" s="67">
        <f>VLOOKUP($B548,[3]Complaints!$A$4:$AJ$39,26,)</f>
        <v>0</v>
      </c>
      <c r="G577" s="67">
        <f>VLOOKUP($B548,[4]Complaints!$A$4:$AJ$39,26,)</f>
        <v>0</v>
      </c>
      <c r="H577" s="67">
        <f>VLOOKUP($B548,[5]Complaints!$A$4:$AJ$39,26,)</f>
        <v>0</v>
      </c>
      <c r="I577" s="67">
        <f>VLOOKUP($B548,[6]Complaints!$A$4:$AJ$39,26,)</f>
        <v>0</v>
      </c>
      <c r="J577" s="67">
        <f>VLOOKUP($B548,[7]Complaints!$A$4:$AJ$39,26,)</f>
        <v>0</v>
      </c>
      <c r="K577" s="67">
        <f>VLOOKUP($B548,[8]Complaints!$A$4:$AJ$39,26,)</f>
        <v>0</v>
      </c>
      <c r="L577" s="67">
        <f>VLOOKUP($B548,[9]Complaints!$A$4:$AJ$39,26,)</f>
        <v>0</v>
      </c>
      <c r="M577" s="67">
        <f>VLOOKUP($B548,[10]Complaints!$A$4:$AJ$39,26,)</f>
        <v>0</v>
      </c>
      <c r="N577" s="67">
        <f>VLOOKUP($B548,[11]Complaints!$A$4:$AJ$39,26,)</f>
        <v>0</v>
      </c>
      <c r="O577" s="68">
        <f>VLOOKUP($B548,[12]Complaints!$A$4:$AJ$39,26,)</f>
        <v>0</v>
      </c>
      <c r="P577" s="69">
        <f t="shared" si="150"/>
        <v>0</v>
      </c>
      <c r="Q577" s="70" t="str">
        <f>IF(P577=0,"",P577/$P556)</f>
        <v/>
      </c>
      <c r="R577" s="18"/>
    </row>
    <row r="578" spans="1:19" s="21" customFormat="1" ht="15.75" customHeight="1" x14ac:dyDescent="0.2">
      <c r="B578" s="145"/>
      <c r="C578" s="39" t="s">
        <v>107</v>
      </c>
      <c r="D578" s="71">
        <f>VLOOKUP($B548,[1]Complaints!$A$4:$AJ$39,27,)</f>
        <v>0</v>
      </c>
      <c r="E578" s="72">
        <f>VLOOKUP($B548,[2]Complaints!$A$4:$AJ$39,27,)</f>
        <v>0</v>
      </c>
      <c r="F578" s="72">
        <f>VLOOKUP($B548,[3]Complaints!$A$4:$AJ$39,27,)</f>
        <v>0</v>
      </c>
      <c r="G578" s="72">
        <f>VLOOKUP($B548,[4]Complaints!$A$4:$AJ$39,27,)</f>
        <v>0</v>
      </c>
      <c r="H578" s="72">
        <f>VLOOKUP($B548,[5]Complaints!$A$4:$AJ$39,27,)</f>
        <v>0</v>
      </c>
      <c r="I578" s="72">
        <f>VLOOKUP($B548,[6]Complaints!$A$4:$AJ$39,27,)</f>
        <v>0</v>
      </c>
      <c r="J578" s="72">
        <f>VLOOKUP($B548,[7]Complaints!$A$4:$AJ$39,27,)</f>
        <v>0</v>
      </c>
      <c r="K578" s="72">
        <f>VLOOKUP($B548,[8]Complaints!$A$4:$AJ$39,27,)</f>
        <v>0</v>
      </c>
      <c r="L578" s="72">
        <f>VLOOKUP($B548,[9]Complaints!$A$4:$AJ$39,27,)</f>
        <v>0</v>
      </c>
      <c r="M578" s="72">
        <f>VLOOKUP($B548,[10]Complaints!$A$4:$AJ$39,27,)</f>
        <v>0</v>
      </c>
      <c r="N578" s="72">
        <f>VLOOKUP($B548,[11]Complaints!$A$4:$AJ$39,27,)</f>
        <v>0</v>
      </c>
      <c r="O578" s="73">
        <f>VLOOKUP($B548,[12]Complaints!$A$4:$AJ$39,27,)</f>
        <v>0</v>
      </c>
      <c r="P578" s="69">
        <f t="shared" si="150"/>
        <v>0</v>
      </c>
      <c r="Q578" s="70" t="str">
        <f>IF(P578=0,"",P578/$P556)</f>
        <v/>
      </c>
      <c r="S578" s="18"/>
    </row>
    <row r="579" spans="1:19" ht="15.75" customHeight="1" x14ac:dyDescent="0.2">
      <c r="B579" s="145"/>
      <c r="C579" s="39" t="s">
        <v>87</v>
      </c>
      <c r="D579" s="71">
        <f>VLOOKUP($B548,[1]Complaints!$A$4:$AJ$39,28,)</f>
        <v>0</v>
      </c>
      <c r="E579" s="72">
        <f>VLOOKUP($B548,[2]Complaints!$A$4:$AJ$39,28,)</f>
        <v>0</v>
      </c>
      <c r="F579" s="72">
        <f>VLOOKUP($B548,[3]Complaints!$A$4:$AJ$39,28,)</f>
        <v>0</v>
      </c>
      <c r="G579" s="72">
        <f>VLOOKUP($B548,[4]Complaints!$A$4:$AJ$39,28,)</f>
        <v>0</v>
      </c>
      <c r="H579" s="72">
        <f>VLOOKUP($B548,[5]Complaints!$A$4:$AJ$39,28,)</f>
        <v>0</v>
      </c>
      <c r="I579" s="72">
        <f>VLOOKUP($B548,[6]Complaints!$A$4:$AJ$39,28,)</f>
        <v>0</v>
      </c>
      <c r="J579" s="72">
        <f>VLOOKUP($B548,[7]Complaints!$A$4:$AJ$39,28,)</f>
        <v>0</v>
      </c>
      <c r="K579" s="72">
        <f>VLOOKUP($B548,[8]Complaints!$A$4:$AJ$39,28,)</f>
        <v>0</v>
      </c>
      <c r="L579" s="72">
        <f>VLOOKUP($B548,[9]Complaints!$A$4:$AJ$39,28,)</f>
        <v>0</v>
      </c>
      <c r="M579" s="72">
        <f>VLOOKUP($B548,[10]Complaints!$A$4:$AJ$39,28,)</f>
        <v>1</v>
      </c>
      <c r="N579" s="72">
        <f>VLOOKUP($B548,[11]Complaints!$A$4:$AJ$39,28,)</f>
        <v>0</v>
      </c>
      <c r="O579" s="73">
        <f>VLOOKUP($B548,[12]Complaints!$A$4:$AJ$39,28,)</f>
        <v>0</v>
      </c>
      <c r="P579" s="69">
        <f t="shared" si="150"/>
        <v>1</v>
      </c>
      <c r="Q579" s="70">
        <f>IF(P579=0,"",P579/$P556)</f>
        <v>0.125</v>
      </c>
      <c r="R579" s="18"/>
    </row>
    <row r="580" spans="1:19" ht="15.75" customHeight="1" x14ac:dyDescent="0.2">
      <c r="B580" s="145"/>
      <c r="C580" s="38" t="s">
        <v>111</v>
      </c>
      <c r="D580" s="66">
        <f>VLOOKUP($B548,[1]Complaints!$A$4:$AJ$39,29,)</f>
        <v>0</v>
      </c>
      <c r="E580" s="67">
        <f>VLOOKUP($B548,[2]Complaints!$A$4:$AJ$39,29,)</f>
        <v>0</v>
      </c>
      <c r="F580" s="67">
        <f>VLOOKUP($B548,[3]Complaints!$A$4:$AJ$39,29,)</f>
        <v>0</v>
      </c>
      <c r="G580" s="67">
        <f>VLOOKUP($B548,[4]Complaints!$A$4:$AJ$39,29,)</f>
        <v>0</v>
      </c>
      <c r="H580" s="67">
        <f>VLOOKUP($B548,[5]Complaints!$A$4:$AJ$39,29,)</f>
        <v>0</v>
      </c>
      <c r="I580" s="67">
        <f>VLOOKUP($B548,[6]Complaints!$A$4:$AJ$39,29,)</f>
        <v>0</v>
      </c>
      <c r="J580" s="67">
        <f>VLOOKUP($B548,[7]Complaints!$A$4:$AJ$39,29,)</f>
        <v>0</v>
      </c>
      <c r="K580" s="67">
        <f>VLOOKUP($B548,[8]Complaints!$A$4:$AJ$39,29,)</f>
        <v>0</v>
      </c>
      <c r="L580" s="67">
        <f>VLOOKUP($B548,[9]Complaints!$A$4:$AJ$39,29,)</f>
        <v>0</v>
      </c>
      <c r="M580" s="67">
        <f>VLOOKUP($B548,[10]Complaints!$A$4:$AJ$39,29,)</f>
        <v>0</v>
      </c>
      <c r="N580" s="67">
        <f>VLOOKUP($B548,[11]Complaints!$A$4:$AJ$39,29,)</f>
        <v>0</v>
      </c>
      <c r="O580" s="68">
        <f>VLOOKUP($B548,[12]Complaints!$A$4:$AJ$39,29,)</f>
        <v>0</v>
      </c>
      <c r="P580" s="69">
        <f t="shared" si="150"/>
        <v>0</v>
      </c>
      <c r="Q580" s="70" t="str">
        <f>IF(P580=0,"",P580/$P556)</f>
        <v/>
      </c>
      <c r="R580" s="18"/>
    </row>
    <row r="581" spans="1:19" ht="15.75" customHeight="1" x14ac:dyDescent="0.2">
      <c r="B581" s="145"/>
      <c r="C581" s="38" t="s">
        <v>112</v>
      </c>
      <c r="D581" s="66">
        <f>VLOOKUP($B548,[1]Complaints!$A$4:$AJ$39,30,)</f>
        <v>0</v>
      </c>
      <c r="E581" s="67">
        <f>VLOOKUP($B548,[2]Complaints!$A$4:$AJ$39,30,)</f>
        <v>0</v>
      </c>
      <c r="F581" s="67">
        <f>VLOOKUP($B548,[3]Complaints!$A$4:$AJ$39,30,)</f>
        <v>0</v>
      </c>
      <c r="G581" s="67">
        <f>VLOOKUP($B548,[4]Complaints!$A$4:$AJ$39,30,)</f>
        <v>0</v>
      </c>
      <c r="H581" s="67">
        <f>VLOOKUP($B548,[5]Complaints!$A$4:$AJ$39,30,)</f>
        <v>0</v>
      </c>
      <c r="I581" s="67">
        <f>VLOOKUP($B548,[6]Complaints!$A$4:$AJ$39,30,)</f>
        <v>0</v>
      </c>
      <c r="J581" s="67">
        <f>VLOOKUP($B548,[7]Complaints!$A$4:$AJ$39,30,)</f>
        <v>0</v>
      </c>
      <c r="K581" s="67">
        <f>VLOOKUP($B548,[8]Complaints!$A$4:$AJ$39,30,)</f>
        <v>0</v>
      </c>
      <c r="L581" s="67">
        <f>VLOOKUP($B548,[9]Complaints!$A$4:$AJ$39,30,)</f>
        <v>0</v>
      </c>
      <c r="M581" s="67">
        <f>VLOOKUP($B548,[10]Complaints!$A$4:$AJ$39,30,)</f>
        <v>0</v>
      </c>
      <c r="N581" s="67">
        <f>VLOOKUP($B548,[11]Complaints!$A$4:$AJ$39,30,)</f>
        <v>0</v>
      </c>
      <c r="O581" s="68">
        <f>VLOOKUP($B548,[12]Complaints!$A$4:$AJ$39,30,)</f>
        <v>0</v>
      </c>
      <c r="P581" s="69">
        <f t="shared" si="150"/>
        <v>0</v>
      </c>
      <c r="Q581" s="70" t="str">
        <f>IF(P581=0,"",P581/$P556)</f>
        <v/>
      </c>
      <c r="R581" s="18"/>
    </row>
    <row r="582" spans="1:19" ht="15.75" customHeight="1" x14ac:dyDescent="0.2">
      <c r="B582" s="146"/>
      <c r="C582" s="40" t="s">
        <v>119</v>
      </c>
      <c r="D582" s="74">
        <f>VLOOKUP($B548,[1]Complaints!$A$4:$AJ$39,31,)</f>
        <v>0</v>
      </c>
      <c r="E582" s="75">
        <f>VLOOKUP($B548,[2]Complaints!$A$4:$AJ$39,31,)</f>
        <v>0</v>
      </c>
      <c r="F582" s="75">
        <f>VLOOKUP($B548,[3]Complaints!$A$4:$AJ$39,31,)</f>
        <v>0</v>
      </c>
      <c r="G582" s="75">
        <f>VLOOKUP($B548,[4]Complaints!$A$4:$AJ$39,31,)</f>
        <v>0</v>
      </c>
      <c r="H582" s="75">
        <f>VLOOKUP($B548,[5]Complaints!$A$4:$AJ$39,31,)</f>
        <v>0</v>
      </c>
      <c r="I582" s="75">
        <f>VLOOKUP($B548,[6]Complaints!$A$4:$AJ$39,31,)</f>
        <v>1</v>
      </c>
      <c r="J582" s="75">
        <f>VLOOKUP($B548,[7]Complaints!$A$4:$AJ$39,31,)</f>
        <v>0</v>
      </c>
      <c r="K582" s="75">
        <f>VLOOKUP($B548,[8]Complaints!$A$4:$AJ$39,31,)</f>
        <v>0</v>
      </c>
      <c r="L582" s="75">
        <f>VLOOKUP($B548,[9]Complaints!$A$4:$AJ$39,31,)</f>
        <v>1</v>
      </c>
      <c r="M582" s="75">
        <f>VLOOKUP($B548,[10]Complaints!$A$4:$AJ$39,31,)</f>
        <v>0</v>
      </c>
      <c r="N582" s="75">
        <f>VLOOKUP($B548,[11]Complaints!$A$4:$AJ$39,31,)</f>
        <v>0</v>
      </c>
      <c r="O582" s="76">
        <f>VLOOKUP($B548,[12]Complaints!$A$4:$AJ$39,31,)</f>
        <v>0</v>
      </c>
      <c r="P582" s="77">
        <f t="shared" si="150"/>
        <v>2</v>
      </c>
      <c r="Q582" s="50">
        <f>IF(P582=0,"",P582/$P556)</f>
        <v>0.25</v>
      </c>
      <c r="R582" s="18"/>
    </row>
    <row r="583" spans="1:19" ht="15.75" customHeight="1" x14ac:dyDescent="0.2">
      <c r="B583" s="146"/>
      <c r="C583" s="38" t="s">
        <v>113</v>
      </c>
      <c r="D583" s="66">
        <f>VLOOKUP($B548,[1]Complaints!$A$4:$AJ$39,32,)</f>
        <v>0</v>
      </c>
      <c r="E583" s="67">
        <f>VLOOKUP($B548,[2]Complaints!$A$4:$AJ$39,32,)</f>
        <v>0</v>
      </c>
      <c r="F583" s="67">
        <f>VLOOKUP($B548,[3]Complaints!$A$4:$AJ$39,32,)</f>
        <v>0</v>
      </c>
      <c r="G583" s="67">
        <f>VLOOKUP($B548,[4]Complaints!$A$4:$AJ$39,32,)</f>
        <v>0</v>
      </c>
      <c r="H583" s="67">
        <f>VLOOKUP($B548,[5]Complaints!$A$4:$AJ$39,32,)</f>
        <v>0</v>
      </c>
      <c r="I583" s="67">
        <f>VLOOKUP($B548,[6]Complaints!$A$4:$AJ$39,32,)</f>
        <v>0</v>
      </c>
      <c r="J583" s="67">
        <f>VLOOKUP($B548,[7]Complaints!$A$4:$AJ$39,32,)</f>
        <v>0</v>
      </c>
      <c r="K583" s="67">
        <f>VLOOKUP($B548,[8]Complaints!$A$4:$AJ$39,32,)</f>
        <v>0</v>
      </c>
      <c r="L583" s="67">
        <f>VLOOKUP($B548,[9]Complaints!$A$4:$AJ$39,32,)</f>
        <v>0</v>
      </c>
      <c r="M583" s="67">
        <f>VLOOKUP($B548,[10]Complaints!$A$4:$AJ$39,32,)</f>
        <v>0</v>
      </c>
      <c r="N583" s="67">
        <f>VLOOKUP($B548,[11]Complaints!$A$4:$AJ$39,32,)</f>
        <v>0</v>
      </c>
      <c r="O583" s="68">
        <f>VLOOKUP($B548,[12]Complaints!$A$4:$AJ$39,32,)</f>
        <v>0</v>
      </c>
      <c r="P583" s="69">
        <f t="shared" si="150"/>
        <v>0</v>
      </c>
      <c r="Q583" s="70" t="str">
        <f>IF(P583=0,"",P583/$P556)</f>
        <v/>
      </c>
      <c r="R583" s="18"/>
    </row>
    <row r="584" spans="1:19" ht="15.75" customHeight="1" x14ac:dyDescent="0.2">
      <c r="B584" s="146"/>
      <c r="C584" s="38" t="s">
        <v>114</v>
      </c>
      <c r="D584" s="66">
        <f>VLOOKUP($B548,[1]Complaints!$A$4:$AJ$39,33,)</f>
        <v>0</v>
      </c>
      <c r="E584" s="67">
        <f>VLOOKUP($B548,[2]Complaints!$A$4:$AJ$39,33,)</f>
        <v>0</v>
      </c>
      <c r="F584" s="67">
        <f>VLOOKUP($B548,[3]Complaints!$A$4:$AJ$39,33,)</f>
        <v>0</v>
      </c>
      <c r="G584" s="67">
        <f>VLOOKUP($B548,[4]Complaints!$A$4:$AJ$39,33,)</f>
        <v>0</v>
      </c>
      <c r="H584" s="67">
        <f>VLOOKUP($B548,[5]Complaints!$A$4:$AJ$39,33,)</f>
        <v>0</v>
      </c>
      <c r="I584" s="67">
        <f>VLOOKUP($B548,[6]Complaints!$A$4:$AJ$39,33,)</f>
        <v>0</v>
      </c>
      <c r="J584" s="67">
        <f>VLOOKUP($B548,[7]Complaints!$A$4:$AJ$39,33,)</f>
        <v>0</v>
      </c>
      <c r="K584" s="67">
        <f>VLOOKUP($B548,[8]Complaints!$A$4:$AJ$39,33,)</f>
        <v>0</v>
      </c>
      <c r="L584" s="67">
        <f>VLOOKUP($B548,[9]Complaints!$A$4:$AJ$39,33,)</f>
        <v>0</v>
      </c>
      <c r="M584" s="67">
        <f>VLOOKUP($B548,[10]Complaints!$A$4:$AJ$39,33,)</f>
        <v>0</v>
      </c>
      <c r="N584" s="67">
        <f>VLOOKUP($B548,[11]Complaints!$A$4:$AJ$39,33,)</f>
        <v>0</v>
      </c>
      <c r="O584" s="68">
        <f>VLOOKUP($B548,[12]Complaints!$A$4:$AJ$39,33,)</f>
        <v>0</v>
      </c>
      <c r="P584" s="69">
        <f t="shared" si="150"/>
        <v>0</v>
      </c>
      <c r="Q584" s="70" t="str">
        <f>IF(P584=0,"",P584/$P556)</f>
        <v/>
      </c>
      <c r="R584" s="18"/>
    </row>
    <row r="585" spans="1:19" ht="15.75" customHeight="1" x14ac:dyDescent="0.2">
      <c r="B585" s="146"/>
      <c r="C585" s="38" t="s">
        <v>115</v>
      </c>
      <c r="D585" s="66">
        <f>VLOOKUP($B548,[1]Complaints!$A$4:$AJ$39,34,)</f>
        <v>0</v>
      </c>
      <c r="E585" s="67">
        <f>VLOOKUP($B548,[2]Complaints!$A$4:$AJ$39,34,)</f>
        <v>0</v>
      </c>
      <c r="F585" s="67">
        <f>VLOOKUP($B548,[3]Complaints!$A$4:$AJ$39,34,)</f>
        <v>0</v>
      </c>
      <c r="G585" s="67">
        <f>VLOOKUP($B548,[4]Complaints!$A$4:$AJ$39,34,)</f>
        <v>0</v>
      </c>
      <c r="H585" s="67">
        <f>VLOOKUP($B548,[5]Complaints!$A$4:$AJ$39,34,)</f>
        <v>0</v>
      </c>
      <c r="I585" s="67">
        <f>VLOOKUP($B548,[6]Complaints!$A$4:$AJ$39,34,)</f>
        <v>1</v>
      </c>
      <c r="J585" s="67">
        <f>VLOOKUP($B548,[7]Complaints!$A$4:$AJ$39,34,)</f>
        <v>0</v>
      </c>
      <c r="K585" s="67">
        <f>VLOOKUP($B548,[8]Complaints!$A$4:$AJ$39,34,)</f>
        <v>0</v>
      </c>
      <c r="L585" s="67">
        <f>VLOOKUP($B548,[9]Complaints!$A$4:$AJ$39,34,)</f>
        <v>1</v>
      </c>
      <c r="M585" s="67">
        <f>VLOOKUP($B548,[10]Complaints!$A$4:$AJ$39,34,)</f>
        <v>0</v>
      </c>
      <c r="N585" s="67">
        <f>VLOOKUP($B548,[11]Complaints!$A$4:$AJ$39,34,)</f>
        <v>0</v>
      </c>
      <c r="O585" s="68">
        <f>VLOOKUP($B548,[12]Complaints!$A$4:$AJ$39,34,)</f>
        <v>0</v>
      </c>
      <c r="P585" s="69">
        <f t="shared" si="150"/>
        <v>2</v>
      </c>
      <c r="Q585" s="70">
        <f>IF(P585=0,"",P585/$P556)</f>
        <v>0.25</v>
      </c>
      <c r="R585" s="18"/>
    </row>
    <row r="586" spans="1:19" ht="15.75" customHeight="1" x14ac:dyDescent="0.2">
      <c r="B586" s="146"/>
      <c r="C586" s="38" t="s">
        <v>116</v>
      </c>
      <c r="D586" s="66">
        <f>VLOOKUP($B548,[1]Complaints!$A$4:$AJ$39,35,)</f>
        <v>0</v>
      </c>
      <c r="E586" s="67">
        <f>VLOOKUP($B548,[2]Complaints!$A$4:$AJ$39,35,)</f>
        <v>0</v>
      </c>
      <c r="F586" s="67">
        <f>VLOOKUP($B548,[3]Complaints!$A$4:$AJ$39,35,)</f>
        <v>0</v>
      </c>
      <c r="G586" s="67">
        <f>VLOOKUP($B548,[4]Complaints!$A$4:$AJ$39,35,)</f>
        <v>0</v>
      </c>
      <c r="H586" s="67">
        <f>VLOOKUP($B548,[5]Complaints!$A$4:$AJ$39,35,)</f>
        <v>0</v>
      </c>
      <c r="I586" s="67">
        <f>VLOOKUP($B548,[6]Complaints!$A$4:$AJ$39,35,)</f>
        <v>0</v>
      </c>
      <c r="J586" s="67">
        <f>VLOOKUP($B548,[7]Complaints!$A$4:$AJ$39,35,)</f>
        <v>0</v>
      </c>
      <c r="K586" s="67">
        <f>VLOOKUP($B548,[8]Complaints!$A$4:$AJ$39,35,)</f>
        <v>0</v>
      </c>
      <c r="L586" s="67">
        <f>VLOOKUP($B548,[9]Complaints!$A$4:$AJ$39,35,)</f>
        <v>0</v>
      </c>
      <c r="M586" s="67">
        <f>VLOOKUP($B548,[10]Complaints!$A$4:$AJ$39,35,)</f>
        <v>0</v>
      </c>
      <c r="N586" s="67">
        <f>VLOOKUP($B548,[11]Complaints!$A$4:$AJ$39,35,)</f>
        <v>0</v>
      </c>
      <c r="O586" s="68">
        <f>VLOOKUP($B548,[12]Complaints!$A$4:$AJ$39,35,)</f>
        <v>0</v>
      </c>
      <c r="P586" s="69">
        <f t="shared" si="150"/>
        <v>0</v>
      </c>
      <c r="Q586" s="70" t="str">
        <f>IF(P586=0,"",P586/$P556)</f>
        <v/>
      </c>
      <c r="R586" s="18"/>
    </row>
    <row r="587" spans="1:19" ht="15.75" customHeight="1" thickBot="1" x14ac:dyDescent="0.25">
      <c r="B587" s="147"/>
      <c r="C587" s="41" t="s">
        <v>117</v>
      </c>
      <c r="D587" s="78">
        <f>VLOOKUP($B548,[1]Complaints!$A$4:$AJ$39,36,)</f>
        <v>0</v>
      </c>
      <c r="E587" s="79">
        <f>VLOOKUP($B548,[2]Complaints!$A$4:$AJ$39,36,)</f>
        <v>0</v>
      </c>
      <c r="F587" s="79">
        <f>VLOOKUP($B548,[3]Complaints!$A$4:$AJ$39,36,)</f>
        <v>0</v>
      </c>
      <c r="G587" s="79">
        <f>VLOOKUP($B548,[4]Complaints!$A$4:$AJ$39,36,)</f>
        <v>0</v>
      </c>
      <c r="H587" s="79">
        <f>VLOOKUP($B548,[5]Complaints!$A$4:$AJ$39,36,)</f>
        <v>0</v>
      </c>
      <c r="I587" s="79">
        <f>VLOOKUP($B548,[6]Complaints!$A$4:$AJ$39,36,)</f>
        <v>0</v>
      </c>
      <c r="J587" s="79">
        <f>VLOOKUP($B548,[7]Complaints!$A$4:$AJ$39,36,)</f>
        <v>0</v>
      </c>
      <c r="K587" s="79">
        <f>VLOOKUP($B548,[8]Complaints!$A$4:$AJ$39,36,)</f>
        <v>0</v>
      </c>
      <c r="L587" s="79">
        <f>VLOOKUP($B548,[9]Complaints!$A$4:$AJ$39,36,)</f>
        <v>0</v>
      </c>
      <c r="M587" s="79">
        <f>VLOOKUP($B548,[10]Complaints!$A$4:$AJ$39,36,)</f>
        <v>0</v>
      </c>
      <c r="N587" s="79">
        <f>VLOOKUP($B548,[11]Complaints!$A$4:$AJ$39,36,)</f>
        <v>0</v>
      </c>
      <c r="O587" s="80">
        <f>VLOOKUP($B548,[12]Complaints!$A$4:$AJ$39,36,)</f>
        <v>0</v>
      </c>
      <c r="P587" s="81">
        <f t="shared" si="150"/>
        <v>0</v>
      </c>
      <c r="Q587" s="82" t="str">
        <f>IF(P587=0,"",P587/$P556)</f>
        <v/>
      </c>
      <c r="R587" s="18"/>
    </row>
    <row r="588" spans="1:19" ht="15.75" customHeight="1" thickBot="1" x14ac:dyDescent="0.25">
      <c r="R588" s="18"/>
      <c r="S588" s="21"/>
    </row>
    <row r="589" spans="1:19" ht="15.75" customHeight="1" x14ac:dyDescent="0.25">
      <c r="B589" s="158" t="s">
        <v>23</v>
      </c>
      <c r="C589" s="159"/>
      <c r="D589" s="32" t="s">
        <v>0</v>
      </c>
      <c r="E589" s="20" t="s">
        <v>1</v>
      </c>
      <c r="F589" s="20" t="s">
        <v>2</v>
      </c>
      <c r="G589" s="20" t="s">
        <v>3</v>
      </c>
      <c r="H589" s="20" t="s">
        <v>4</v>
      </c>
      <c r="I589" s="20" t="s">
        <v>5</v>
      </c>
      <c r="J589" s="20" t="s">
        <v>6</v>
      </c>
      <c r="K589" s="20" t="s">
        <v>7</v>
      </c>
      <c r="L589" s="20" t="s">
        <v>8</v>
      </c>
      <c r="M589" s="20" t="s">
        <v>9</v>
      </c>
      <c r="N589" s="20" t="s">
        <v>10</v>
      </c>
      <c r="O589" s="33" t="s">
        <v>11</v>
      </c>
      <c r="P589" s="35" t="s">
        <v>12</v>
      </c>
      <c r="Q589" s="160" t="s">
        <v>104</v>
      </c>
      <c r="R589" s="18"/>
    </row>
    <row r="590" spans="1:19" ht="15.75" customHeight="1" thickBot="1" x14ac:dyDescent="0.3">
      <c r="B590" s="162" t="s">
        <v>76</v>
      </c>
      <c r="C590" s="163"/>
      <c r="D590" s="34">
        <v>2020</v>
      </c>
      <c r="E590" s="34">
        <v>2020</v>
      </c>
      <c r="F590" s="34">
        <v>2020</v>
      </c>
      <c r="G590" s="34">
        <v>2020</v>
      </c>
      <c r="H590" s="34">
        <v>2020</v>
      </c>
      <c r="I590" s="34">
        <v>2020</v>
      </c>
      <c r="J590" s="34">
        <v>2020</v>
      </c>
      <c r="K590" s="34">
        <v>2020</v>
      </c>
      <c r="L590" s="34">
        <v>2020</v>
      </c>
      <c r="M590" s="25">
        <v>2021</v>
      </c>
      <c r="N590" s="25">
        <v>2021</v>
      </c>
      <c r="O590" s="25">
        <v>2021</v>
      </c>
      <c r="P590" s="36" t="s">
        <v>122</v>
      </c>
      <c r="Q590" s="161"/>
      <c r="R590" s="18"/>
    </row>
    <row r="591" spans="1:19" ht="12.75" customHeight="1" thickBot="1" x14ac:dyDescent="0.25">
      <c r="B591" s="164" t="s">
        <v>38</v>
      </c>
      <c r="C591" s="165"/>
      <c r="D591" s="42">
        <f>VLOOKUP($B590,[1]Complaints!$A$4:$AJ$39,2,)</f>
        <v>143</v>
      </c>
      <c r="E591" s="43">
        <f>VLOOKUP($B590,[2]Complaints!$A$4:$AJ$39,2,)</f>
        <v>202</v>
      </c>
      <c r="F591" s="43">
        <f>VLOOKUP($B590,[3]Complaints!$A$4:$AJ$39,2)</f>
        <v>292</v>
      </c>
      <c r="G591" s="43">
        <f>VLOOKUP($B590,[4]Complaints!$A$4:$AJ$39,2)</f>
        <v>524</v>
      </c>
      <c r="H591" s="43">
        <f>VLOOKUP($B590,[5]Complaints!$A$4:$AJ$39,2)</f>
        <v>724</v>
      </c>
      <c r="I591" s="43">
        <f>VLOOKUP($B590,[6]Complaints!$A$4:$AJ$39,2)</f>
        <v>982</v>
      </c>
      <c r="J591" s="43">
        <f>VLOOKUP($B590,[7]Complaints!$A$4:$AJ$39,2)</f>
        <v>817</v>
      </c>
      <c r="K591" s="43">
        <f>VLOOKUP($B590,[8]Complaints!$A$4:$AJ$39,2)</f>
        <v>817</v>
      </c>
      <c r="L591" s="43">
        <f>VLOOKUP($B590,[9]Complaints!$A$4:$AJ$39,2)</f>
        <v>749</v>
      </c>
      <c r="M591" s="43">
        <f>VLOOKUP($B590,[10]Complaints!$A$4:$AJ$39,2)</f>
        <v>534</v>
      </c>
      <c r="N591" s="43">
        <f>VLOOKUP($B590,[11]Complaints!$A$4:$AJ$39,2)</f>
        <v>0</v>
      </c>
      <c r="O591" s="44">
        <f>VLOOKUP($B590,[12]Complaints!$A$4:$AJ$39,2)</f>
        <v>0</v>
      </c>
      <c r="P591" s="45">
        <f>SUM(D591:O591)</f>
        <v>5784</v>
      </c>
      <c r="Q591" s="46"/>
      <c r="R591" s="18"/>
    </row>
    <row r="592" spans="1:19" ht="15.75" customHeight="1" x14ac:dyDescent="0.2">
      <c r="B592" s="166" t="s">
        <v>94</v>
      </c>
      <c r="C592" s="167"/>
      <c r="D592" s="47">
        <f>VLOOKUP($B590,[1]Complaints!$A$4:$AF$39,3,)</f>
        <v>0</v>
      </c>
      <c r="E592" s="48">
        <f>VLOOKUP($B590,[2]Complaints!$A$4:$AF$39,3,)</f>
        <v>0</v>
      </c>
      <c r="F592" s="48">
        <f>VLOOKUP($B590,[3]Complaints!$A$4:$AG$39,3,)</f>
        <v>0</v>
      </c>
      <c r="G592" s="48">
        <f>VLOOKUP($B590,[4]Complaints!$A$4:$AG$39,3,)</f>
        <v>0</v>
      </c>
      <c r="H592" s="48">
        <f>VLOOKUP($B590,[5]Complaints!$A$4:$AG$39,3,)</f>
        <v>0</v>
      </c>
      <c r="I592" s="48">
        <f>VLOOKUP($B590,[6]Complaints!$A$4:$AG$39,3,)</f>
        <v>0</v>
      </c>
      <c r="J592" s="48">
        <f>VLOOKUP($B590,[7]Complaints!$A$4:$AG$39,3,)</f>
        <v>0</v>
      </c>
      <c r="K592" s="48">
        <f>VLOOKUP($B590,[8]Complaints!$A$4:$AG$39,3,)</f>
        <v>0</v>
      </c>
      <c r="L592" s="48">
        <f>VLOOKUP($B590,[9]Complaints!$A$4:$AG$39,3,)</f>
        <v>2</v>
      </c>
      <c r="M592" s="48">
        <f>VLOOKUP($B590,[10]Complaints!$A$4:$AG$39,3,)</f>
        <v>0</v>
      </c>
      <c r="N592" s="48">
        <f>VLOOKUP($B590,[11]Complaints!$A$4:$AG$39,3,)</f>
        <v>0</v>
      </c>
      <c r="O592" s="49">
        <f>VLOOKUP($B590,[12]Complaints!$A$4:$AG$39,3,)</f>
        <v>0</v>
      </c>
      <c r="P592" s="45">
        <f>SUM(D592:O592)</f>
        <v>2</v>
      </c>
      <c r="Q592" s="50"/>
      <c r="R592" s="18"/>
    </row>
    <row r="593" spans="2:18" ht="15.75" customHeight="1" x14ac:dyDescent="0.2">
      <c r="B593" s="26"/>
      <c r="C593" s="28" t="s">
        <v>102</v>
      </c>
      <c r="D593" s="51">
        <f>IF(D591=0,"",D592/D591)</f>
        <v>0</v>
      </c>
      <c r="E593" s="52">
        <f t="shared" ref="E593:O593" si="151">IF(E591=0,"",E592/E591)</f>
        <v>0</v>
      </c>
      <c r="F593" s="52">
        <f t="shared" si="151"/>
        <v>0</v>
      </c>
      <c r="G593" s="52">
        <f t="shared" si="151"/>
        <v>0</v>
      </c>
      <c r="H593" s="52">
        <f t="shared" si="151"/>
        <v>0</v>
      </c>
      <c r="I593" s="52">
        <f t="shared" si="151"/>
        <v>0</v>
      </c>
      <c r="J593" s="52">
        <f t="shared" si="151"/>
        <v>0</v>
      </c>
      <c r="K593" s="52">
        <f t="shared" si="151"/>
        <v>0</v>
      </c>
      <c r="L593" s="52">
        <f t="shared" si="151"/>
        <v>2.6702269692923898E-3</v>
      </c>
      <c r="M593" s="52">
        <f t="shared" si="151"/>
        <v>0</v>
      </c>
      <c r="N593" s="52" t="str">
        <f t="shared" si="151"/>
        <v/>
      </c>
      <c r="O593" s="53" t="str">
        <f t="shared" si="151"/>
        <v/>
      </c>
      <c r="P593" s="54">
        <f>IF(P592="","",P592/P591)</f>
        <v>3.4578146611341634E-4</v>
      </c>
      <c r="Q593" s="50"/>
      <c r="R593" s="18"/>
    </row>
    <row r="594" spans="2:18" s="21" customFormat="1" ht="15.75" customHeight="1" x14ac:dyDescent="0.2">
      <c r="B594" s="155" t="s">
        <v>95</v>
      </c>
      <c r="C594" s="156"/>
      <c r="D594" s="47">
        <f>VLOOKUP($B590,[1]Complaints!$A$4:$AF$39,4,)</f>
        <v>0</v>
      </c>
      <c r="E594" s="48">
        <f>VLOOKUP($B590,[2]Complaints!$A$4:$AF$39,4,)</f>
        <v>0</v>
      </c>
      <c r="F594" s="48">
        <f>VLOOKUP($B590,[3]Complaints!$A$4:$AG$39,4,)</f>
        <v>0</v>
      </c>
      <c r="G594" s="48">
        <f>VLOOKUP($B590,[4]Complaints!$A$4:$AG$39,4,)</f>
        <v>0</v>
      </c>
      <c r="H594" s="48">
        <f>VLOOKUP($B590,[5]Complaints!$A$4:$AG$39,4,)</f>
        <v>0</v>
      </c>
      <c r="I594" s="48">
        <f>VLOOKUP($B590,[6]Complaints!$A$4:$AG$39,4,)</f>
        <v>0</v>
      </c>
      <c r="J594" s="48">
        <f>VLOOKUP($B590,[7]Complaints!$A$4:$AG$39,4,)</f>
        <v>0</v>
      </c>
      <c r="K594" s="48">
        <f>VLOOKUP($B590,[8]Complaints!$A$4:$AG$39,4,)</f>
        <v>0</v>
      </c>
      <c r="L594" s="48">
        <f>VLOOKUP($B590,[9]Complaints!$A$4:$AG$39,4,)</f>
        <v>1</v>
      </c>
      <c r="M594" s="48">
        <f>VLOOKUP($B590,[10]Complaints!$A$4:$AG$39,4,)</f>
        <v>-1</v>
      </c>
      <c r="N594" s="48">
        <f>VLOOKUP($B590,[11]Complaints!$A$4:$AG$39,4,)</f>
        <v>0</v>
      </c>
      <c r="O594" s="49">
        <f>VLOOKUP($B590,[12]Complaints!$A$4:$AG$39,4,)</f>
        <v>0</v>
      </c>
      <c r="P594" s="55">
        <f t="shared" ref="P594" si="152">SUM(D594:O594)</f>
        <v>0</v>
      </c>
      <c r="Q594" s="50"/>
    </row>
    <row r="595" spans="2:18" ht="15.75" customHeight="1" x14ac:dyDescent="0.2">
      <c r="B595" s="26"/>
      <c r="C595" s="28" t="s">
        <v>98</v>
      </c>
      <c r="D595" s="51">
        <f>IF(D591=0,"",D594/D591)</f>
        <v>0</v>
      </c>
      <c r="E595" s="52">
        <f t="shared" ref="E595:O595" si="153">IF(E591=0,"",E594/E591)</f>
        <v>0</v>
      </c>
      <c r="F595" s="52">
        <f t="shared" si="153"/>
        <v>0</v>
      </c>
      <c r="G595" s="52">
        <f t="shared" si="153"/>
        <v>0</v>
      </c>
      <c r="H595" s="52">
        <f t="shared" si="153"/>
        <v>0</v>
      </c>
      <c r="I595" s="52">
        <f t="shared" si="153"/>
        <v>0</v>
      </c>
      <c r="J595" s="52">
        <f t="shared" si="153"/>
        <v>0</v>
      </c>
      <c r="K595" s="52">
        <f t="shared" si="153"/>
        <v>0</v>
      </c>
      <c r="L595" s="52">
        <f t="shared" si="153"/>
        <v>1.3351134846461949E-3</v>
      </c>
      <c r="M595" s="52">
        <f t="shared" si="153"/>
        <v>-1.8726591760299626E-3</v>
      </c>
      <c r="N595" s="52" t="str">
        <f t="shared" si="153"/>
        <v/>
      </c>
      <c r="O595" s="53" t="str">
        <f t="shared" si="153"/>
        <v/>
      </c>
      <c r="P595" s="54">
        <f>IF(P594="","",P594/P591)</f>
        <v>0</v>
      </c>
      <c r="Q595" s="50"/>
      <c r="R595" s="18"/>
    </row>
    <row r="596" spans="2:18" ht="15.75" customHeight="1" x14ac:dyDescent="0.2">
      <c r="B596" s="155" t="s">
        <v>96</v>
      </c>
      <c r="C596" s="156"/>
      <c r="D596" s="47">
        <f>VLOOKUP($B590,[1]Complaints!$A$4:$AF$39,5,)</f>
        <v>0</v>
      </c>
      <c r="E596" s="48">
        <f>VLOOKUP($B590,[2]Complaints!$A$4:$AF$39,5,)</f>
        <v>0</v>
      </c>
      <c r="F596" s="48">
        <f>VLOOKUP($B590,[3]Complaints!$A$4:$AG$39,5,)</f>
        <v>0</v>
      </c>
      <c r="G596" s="48">
        <f>VLOOKUP($B590,[4]Complaints!$A$4:$AG$39,5,)</f>
        <v>0</v>
      </c>
      <c r="H596" s="48">
        <f>VLOOKUP($B590,[5]Complaints!$A$4:$AG$39,5,)</f>
        <v>0</v>
      </c>
      <c r="I596" s="48">
        <f>VLOOKUP($B590,[6]Complaints!$A$4:$AG$39,5,)</f>
        <v>0</v>
      </c>
      <c r="J596" s="48">
        <f>VLOOKUP($B590,[7]Complaints!$A$4:$AG$39,5,)</f>
        <v>0</v>
      </c>
      <c r="K596" s="48">
        <f>VLOOKUP($B590,[8]Complaints!$A$4:$AG$39,5,)</f>
        <v>0</v>
      </c>
      <c r="L596" s="48">
        <f>VLOOKUP($B590,[9]Complaints!$A$4:$AG$39,5,)</f>
        <v>1</v>
      </c>
      <c r="M596" s="48">
        <f>VLOOKUP($B590,[10]Complaints!$A$4:$AG$39,5,)</f>
        <v>1</v>
      </c>
      <c r="N596" s="48">
        <f>VLOOKUP($B590,[11]Complaints!$A$4:$AG$39,5,)</f>
        <v>0</v>
      </c>
      <c r="O596" s="49">
        <f>VLOOKUP($B590,[12]Complaints!$A$4:$AG$39,5,)</f>
        <v>0</v>
      </c>
      <c r="P596" s="55">
        <f t="shared" ref="P596" si="154">SUM(D596:O596)</f>
        <v>2</v>
      </c>
      <c r="Q596" s="50"/>
      <c r="R596" s="18"/>
    </row>
    <row r="597" spans="2:18" ht="15.75" customHeight="1" x14ac:dyDescent="0.2">
      <c r="B597" s="26"/>
      <c r="C597" s="28" t="s">
        <v>99</v>
      </c>
      <c r="D597" s="51">
        <f>IF(D591=0,"",D596/D591)</f>
        <v>0</v>
      </c>
      <c r="E597" s="52">
        <f t="shared" ref="E597:O597" si="155">IF(E591=0,"",E596/E591)</f>
        <v>0</v>
      </c>
      <c r="F597" s="52">
        <f t="shared" si="155"/>
        <v>0</v>
      </c>
      <c r="G597" s="52">
        <f t="shared" si="155"/>
        <v>0</v>
      </c>
      <c r="H597" s="52">
        <f t="shared" si="155"/>
        <v>0</v>
      </c>
      <c r="I597" s="52">
        <f t="shared" si="155"/>
        <v>0</v>
      </c>
      <c r="J597" s="52">
        <f t="shared" si="155"/>
        <v>0</v>
      </c>
      <c r="K597" s="52">
        <f t="shared" si="155"/>
        <v>0</v>
      </c>
      <c r="L597" s="52">
        <f t="shared" si="155"/>
        <v>1.3351134846461949E-3</v>
      </c>
      <c r="M597" s="52">
        <f t="shared" si="155"/>
        <v>1.8726591760299626E-3</v>
      </c>
      <c r="N597" s="52" t="str">
        <f t="shared" si="155"/>
        <v/>
      </c>
      <c r="O597" s="53" t="str">
        <f t="shared" si="155"/>
        <v/>
      </c>
      <c r="P597" s="54">
        <f>IF(P596="","",P596/P591)</f>
        <v>3.4578146611341634E-4</v>
      </c>
      <c r="Q597" s="50"/>
      <c r="R597" s="18"/>
    </row>
    <row r="598" spans="2:18" ht="15.75" customHeight="1" x14ac:dyDescent="0.2">
      <c r="B598" s="157" t="s">
        <v>97</v>
      </c>
      <c r="C598" s="156"/>
      <c r="D598" s="47">
        <f>VLOOKUP($B590,[1]Complaints!$A$4:$AF$39,6,)</f>
        <v>0</v>
      </c>
      <c r="E598" s="48">
        <f>VLOOKUP($B590,[2]Complaints!$A$4:$AF$39,6,)</f>
        <v>0</v>
      </c>
      <c r="F598" s="48">
        <f>VLOOKUP($B590,[3]Complaints!$A$4:$AG$39,6,)</f>
        <v>0</v>
      </c>
      <c r="G598" s="48">
        <f>VLOOKUP($B590,[4]Complaints!$A$4:$AG$39,6,)</f>
        <v>0</v>
      </c>
      <c r="H598" s="48">
        <f>VLOOKUP($B590,[5]Complaints!$A$4:$AG$39,6,)</f>
        <v>0</v>
      </c>
      <c r="I598" s="48">
        <f>VLOOKUP($B590,[6]Complaints!$A$4:$AG$39,6,)</f>
        <v>0</v>
      </c>
      <c r="J598" s="48">
        <f>VLOOKUP($B590,[7]Complaints!$A$4:$AG$39,6,)</f>
        <v>0</v>
      </c>
      <c r="K598" s="48">
        <f>VLOOKUP($B590,[8]Complaints!$A$4:$AG$39,6,)</f>
        <v>0</v>
      </c>
      <c r="L598" s="48">
        <f>VLOOKUP($B590,[9]Complaints!$A$4:$AG$39,6,)</f>
        <v>0</v>
      </c>
      <c r="M598" s="48">
        <f>VLOOKUP($B590,[10]Complaints!$A$4:$AG$39,6,)</f>
        <v>0</v>
      </c>
      <c r="N598" s="48">
        <f>VLOOKUP($B590,[11]Complaints!$A$4:$AG$39,6,)</f>
        <v>0</v>
      </c>
      <c r="O598" s="49">
        <f>VLOOKUP($B590,[12]Complaints!$A$4:$AG$39,6,)</f>
        <v>0</v>
      </c>
      <c r="P598" s="55">
        <f t="shared" ref="P598" si="156">SUM(D598:O598)</f>
        <v>0</v>
      </c>
      <c r="Q598" s="50"/>
      <c r="R598" s="18"/>
    </row>
    <row r="599" spans="2:18" ht="15.75" customHeight="1" thickBot="1" x14ac:dyDescent="0.25">
      <c r="B599" s="27"/>
      <c r="C599" s="29" t="s">
        <v>100</v>
      </c>
      <c r="D599" s="56" t="str">
        <f>IF(D598=0,"",D598/D596)</f>
        <v/>
      </c>
      <c r="E599" s="57" t="str">
        <f t="shared" ref="E599:H599" si="157">IF(E598=0,"",E598/E596)</f>
        <v/>
      </c>
      <c r="F599" s="57" t="str">
        <f t="shared" si="157"/>
        <v/>
      </c>
      <c r="G599" s="57" t="str">
        <f t="shared" si="157"/>
        <v/>
      </c>
      <c r="H599" s="57" t="str">
        <f t="shared" si="157"/>
        <v/>
      </c>
      <c r="I599" s="57" t="str">
        <f>IF(I598=0,"",I598/I596)</f>
        <v/>
      </c>
      <c r="J599" s="57" t="str">
        <f t="shared" ref="J599:O599" si="158">IF(J598=0,"",J598/J596)</f>
        <v/>
      </c>
      <c r="K599" s="57" t="str">
        <f t="shared" si="158"/>
        <v/>
      </c>
      <c r="L599" s="57" t="str">
        <f t="shared" si="158"/>
        <v/>
      </c>
      <c r="M599" s="57" t="str">
        <f t="shared" si="158"/>
        <v/>
      </c>
      <c r="N599" s="57" t="str">
        <f t="shared" si="158"/>
        <v/>
      </c>
      <c r="O599" s="58" t="str">
        <f t="shared" si="158"/>
        <v/>
      </c>
      <c r="P599" s="59" t="str">
        <f>IF(P598=0,"",P598/P596)</f>
        <v/>
      </c>
      <c r="Q599" s="60"/>
      <c r="R599" s="18"/>
    </row>
    <row r="600" spans="2:18" ht="15.75" customHeight="1" x14ac:dyDescent="0.2">
      <c r="B600" s="168" t="s">
        <v>103</v>
      </c>
      <c r="C600" s="30" t="s">
        <v>77</v>
      </c>
      <c r="D600" s="61">
        <f>VLOOKUP($B590,[1]Complaints!$A$4:$AJ$39,7,)</f>
        <v>0</v>
      </c>
      <c r="E600" s="43">
        <f>VLOOKUP($B590,[2]Complaints!$A$4:$AJ$39,7,)</f>
        <v>0</v>
      </c>
      <c r="F600" s="43">
        <f>VLOOKUP($B590,[3]Complaints!$A$4:$AJ$39,7,)</f>
        <v>0</v>
      </c>
      <c r="G600" s="43">
        <f>VLOOKUP($B590,[4]Complaints!$A$4:$AJ$39,7,)</f>
        <v>0</v>
      </c>
      <c r="H600" s="43">
        <f>VLOOKUP($B590,[5]Complaints!$A$4:$AJ$39,7,)</f>
        <v>0</v>
      </c>
      <c r="I600" s="43">
        <f>VLOOKUP($B590,[6]Complaints!$A$4:$AJ$39,7,)</f>
        <v>0</v>
      </c>
      <c r="J600" s="43">
        <f>VLOOKUP($B590,[7]Complaints!$A$4:$AJ$39,7,)</f>
        <v>0</v>
      </c>
      <c r="K600" s="43">
        <f>VLOOKUP($B590,[8]Complaints!$A$4:$AJ$39,7,)</f>
        <v>0</v>
      </c>
      <c r="L600" s="43">
        <f>VLOOKUP($B590,[9]Complaints!$A$4:$AJ$39,7,)</f>
        <v>0</v>
      </c>
      <c r="M600" s="43">
        <f>VLOOKUP($B590,[10]Complaints!$A$4:$AJ$39,7,)</f>
        <v>0</v>
      </c>
      <c r="N600" s="43">
        <f>VLOOKUP($B590,[11]Complaints!$A$4:$AJ$39,7,)</f>
        <v>0</v>
      </c>
      <c r="O600" s="44">
        <f>VLOOKUP($B590,[12]Complaints!$A$4:$AJ$39,7,)</f>
        <v>0</v>
      </c>
      <c r="P600" s="45">
        <f>SUM(D600:O600)</f>
        <v>0</v>
      </c>
      <c r="Q600" s="46" t="str">
        <f>IF(P600=0,"",P600/$P592)</f>
        <v/>
      </c>
      <c r="R600" s="18"/>
    </row>
    <row r="601" spans="2:18" ht="15.75" customHeight="1" x14ac:dyDescent="0.2">
      <c r="B601" s="169"/>
      <c r="C601" s="31" t="s">
        <v>89</v>
      </c>
      <c r="D601" s="47">
        <f>VLOOKUP($B590,[1]Complaints!$A$4:$AJ$39,8,)</f>
        <v>0</v>
      </c>
      <c r="E601" s="48">
        <f>VLOOKUP($B590,[2]Complaints!$A$4:$AJ$39,8,)</f>
        <v>0</v>
      </c>
      <c r="F601" s="48">
        <f>VLOOKUP($B590,[3]Complaints!$A$4:$AJ$39,8,)</f>
        <v>0</v>
      </c>
      <c r="G601" s="48">
        <f>VLOOKUP($B590,[4]Complaints!$A$4:$AJ$39,8,)</f>
        <v>0</v>
      </c>
      <c r="H601" s="48">
        <f>VLOOKUP($B590,[5]Complaints!$A$4:$AJ$39,8,)</f>
        <v>0</v>
      </c>
      <c r="I601" s="48">
        <f>VLOOKUP($B590,[6]Complaints!$A$4:$AJ$39,8,)</f>
        <v>0</v>
      </c>
      <c r="J601" s="48">
        <f>VLOOKUP($B590,[7]Complaints!$A$4:$AJ$39,8,)</f>
        <v>0</v>
      </c>
      <c r="K601" s="48">
        <f>VLOOKUP($B590,[8]Complaints!$A$4:$AJ$39,8,)</f>
        <v>0</v>
      </c>
      <c r="L601" s="48">
        <f>VLOOKUP($B590,[9]Complaints!$A$4:$AJ$39,8,)</f>
        <v>1</v>
      </c>
      <c r="M601" s="48">
        <f>VLOOKUP($B590,[10]Complaints!$A$4:$AJ$39,8,)</f>
        <v>0</v>
      </c>
      <c r="N601" s="48">
        <f>VLOOKUP($B590,[11]Complaints!$A$4:$AJ$39,8,)</f>
        <v>0</v>
      </c>
      <c r="O601" s="49">
        <f>VLOOKUP($B590,[12]Complaints!$A$4:$AJ$39,8,)</f>
        <v>0</v>
      </c>
      <c r="P601" s="55">
        <f t="shared" ref="P601:P602" si="159">SUM(D601:O601)</f>
        <v>1</v>
      </c>
      <c r="Q601" s="50">
        <f>IF(P601="","",P601/$P592)</f>
        <v>0.5</v>
      </c>
      <c r="R601" s="18"/>
    </row>
    <row r="602" spans="2:18" ht="15.75" customHeight="1" x14ac:dyDescent="0.2">
      <c r="B602" s="169"/>
      <c r="C602" s="31" t="s">
        <v>88</v>
      </c>
      <c r="D602" s="47">
        <f>VLOOKUP($B590,[1]Complaints!$A$4:$AJ$39,9,)</f>
        <v>0</v>
      </c>
      <c r="E602" s="48">
        <f>VLOOKUP($B590,[2]Complaints!$A$4:$AJ$39,9,)</f>
        <v>0</v>
      </c>
      <c r="F602" s="48">
        <f>VLOOKUP($B590,[3]Complaints!$A$4:$AJ$39,9,)</f>
        <v>0</v>
      </c>
      <c r="G602" s="48">
        <f>VLOOKUP($B590,[4]Complaints!$A$4:$AJ$39,9,)</f>
        <v>0</v>
      </c>
      <c r="H602" s="48">
        <f>VLOOKUP($B590,[5]Complaints!$A$4:$AJ$39,9,)</f>
        <v>0</v>
      </c>
      <c r="I602" s="48">
        <f>VLOOKUP($B590,[6]Complaints!$A$4:$AJ$39,9,)</f>
        <v>0</v>
      </c>
      <c r="J602" s="48">
        <f>VLOOKUP($B590,[7]Complaints!$A$4:$AJ$39,9,)</f>
        <v>0</v>
      </c>
      <c r="K602" s="48">
        <f>VLOOKUP($B590,[8]Complaints!$A$4:$AJ$39,9,)</f>
        <v>0</v>
      </c>
      <c r="L602" s="48">
        <f>VLOOKUP($B590,[9]Complaints!$A$4:$AJ$39,9,)</f>
        <v>0</v>
      </c>
      <c r="M602" s="48">
        <f>VLOOKUP($B590,[10]Complaints!$A$4:$AJ$39,9,)</f>
        <v>0</v>
      </c>
      <c r="N602" s="48">
        <f>VLOOKUP($B590,[11]Complaints!$A$4:$AJ$39,9,)</f>
        <v>0</v>
      </c>
      <c r="O602" s="49">
        <f>VLOOKUP($B590,[12]Complaints!$A$4:$AJ$39,9,)</f>
        <v>0</v>
      </c>
      <c r="P602" s="55">
        <f t="shared" si="159"/>
        <v>0</v>
      </c>
      <c r="Q602" s="50" t="str">
        <f>IF(P602=0,"",P602/$P592)</f>
        <v/>
      </c>
      <c r="R602" s="18"/>
    </row>
    <row r="603" spans="2:18" ht="15.75" customHeight="1" x14ac:dyDescent="0.2">
      <c r="B603" s="169"/>
      <c r="C603" s="31" t="s">
        <v>13</v>
      </c>
      <c r="D603" s="47">
        <f>VLOOKUP($B590,[1]Complaints!$A$4:$AJ$39,10,)</f>
        <v>0</v>
      </c>
      <c r="E603" s="48">
        <f>VLOOKUP($B590,[2]Complaints!$A$4:$AJ$39,10,)</f>
        <v>0</v>
      </c>
      <c r="F603" s="48">
        <f>VLOOKUP($B590,[3]Complaints!$A$4:$AJ$39,10,)</f>
        <v>0</v>
      </c>
      <c r="G603" s="48">
        <f>VLOOKUP($B590,[4]Complaints!$A$4:$AJ$39,10,)</f>
        <v>0</v>
      </c>
      <c r="H603" s="48">
        <f>VLOOKUP($B590,[5]Complaints!$A$4:$AJ$39,10,)</f>
        <v>0</v>
      </c>
      <c r="I603" s="48">
        <f>VLOOKUP($B590,[6]Complaints!$A$4:$AJ$39,10,)</f>
        <v>0</v>
      </c>
      <c r="J603" s="48">
        <f>VLOOKUP($B590,[7]Complaints!$A$4:$AJ$39,10,)</f>
        <v>0</v>
      </c>
      <c r="K603" s="48">
        <f>VLOOKUP($B590,[8]Complaints!$A$4:$AJ$39,10,)</f>
        <v>0</v>
      </c>
      <c r="L603" s="48">
        <f>VLOOKUP($B590,[9]Complaints!$A$4:$AJ$39,10,)</f>
        <v>1</v>
      </c>
      <c r="M603" s="48">
        <f>VLOOKUP($B590,[10]Complaints!$A$4:$AJ$39,10,)</f>
        <v>0</v>
      </c>
      <c r="N603" s="48">
        <f>VLOOKUP($B590,[11]Complaints!$A$4:$AJ$39,10,)</f>
        <v>0</v>
      </c>
      <c r="O603" s="49">
        <f>VLOOKUP($B590,[12]Complaints!$A$4:$AJ$39,10,)</f>
        <v>0</v>
      </c>
      <c r="P603" s="55">
        <f>SUM(D603:O603)</f>
        <v>1</v>
      </c>
      <c r="Q603" s="50">
        <f>IF(P603=0,"",P603/$P592)</f>
        <v>0.5</v>
      </c>
      <c r="R603" s="18"/>
    </row>
    <row r="604" spans="2:18" ht="15.75" customHeight="1" x14ac:dyDescent="0.2">
      <c r="B604" s="169"/>
      <c r="C604" s="31" t="s">
        <v>101</v>
      </c>
      <c r="D604" s="47">
        <f>VLOOKUP($B590,[1]Complaints!$A$4:$AJ$39,11,)</f>
        <v>0</v>
      </c>
      <c r="E604" s="48">
        <f>VLOOKUP($B590,[2]Complaints!$A$4:$AJ$39,11,)</f>
        <v>0</v>
      </c>
      <c r="F604" s="48">
        <f>VLOOKUP($B590,[3]Complaints!$A$4:$AJ$39,11,)</f>
        <v>0</v>
      </c>
      <c r="G604" s="48">
        <f>VLOOKUP($B590,[4]Complaints!$A$4:$AJ$39,11,)</f>
        <v>0</v>
      </c>
      <c r="H604" s="48">
        <f>VLOOKUP($B590,[5]Complaints!$A$4:$AJ$39,11,)</f>
        <v>0</v>
      </c>
      <c r="I604" s="48">
        <f>VLOOKUP($B590,[6]Complaints!$A$4:$AJ$39,11,)</f>
        <v>0</v>
      </c>
      <c r="J604" s="48">
        <f>VLOOKUP($B590,[7]Complaints!$A$4:$AJ$39,11,)</f>
        <v>0</v>
      </c>
      <c r="K604" s="48">
        <f>VLOOKUP($B590,[8]Complaints!$A$4:$AJ$39,11,)</f>
        <v>0</v>
      </c>
      <c r="L604" s="48">
        <f>VLOOKUP($B590,[9]Complaints!$A$4:$AJ$39,11,)</f>
        <v>0</v>
      </c>
      <c r="M604" s="48">
        <f>VLOOKUP($B590,[10]Complaints!$A$4:$AJ$39,11,)</f>
        <v>0</v>
      </c>
      <c r="N604" s="48">
        <f>VLOOKUP($B590,[11]Complaints!$A$4:$AJ$39,11,)</f>
        <v>0</v>
      </c>
      <c r="O604" s="49">
        <f>VLOOKUP($B590,[12]Complaints!$A$4:$AJ$39,11,)</f>
        <v>0</v>
      </c>
      <c r="P604" s="55">
        <f t="shared" ref="P604:P613" si="160">SUM(D604:O604)</f>
        <v>0</v>
      </c>
      <c r="Q604" s="50" t="str">
        <f>IF(P604=0,"",P604/$P592)</f>
        <v/>
      </c>
      <c r="R604" s="18"/>
    </row>
    <row r="605" spans="2:18" s="19" customFormat="1" ht="15.75" customHeight="1" x14ac:dyDescent="0.2">
      <c r="B605" s="169"/>
      <c r="C605" s="31" t="s">
        <v>93</v>
      </c>
      <c r="D605" s="47">
        <f>VLOOKUP($B590,[1]Complaints!$A$4:$AJ$39,12,)</f>
        <v>0</v>
      </c>
      <c r="E605" s="48">
        <f>VLOOKUP($B590,[2]Complaints!$A$4:$AJ$39,12,)</f>
        <v>0</v>
      </c>
      <c r="F605" s="48">
        <f>VLOOKUP($B590,[3]Complaints!$A$4:$AJ$39,12,)</f>
        <v>0</v>
      </c>
      <c r="G605" s="48">
        <f>VLOOKUP($B590,[4]Complaints!$A$4:$AJ$39,12,)</f>
        <v>0</v>
      </c>
      <c r="H605" s="48">
        <f>VLOOKUP($B590,[5]Complaints!$A$4:$AJ$39,12,)</f>
        <v>0</v>
      </c>
      <c r="I605" s="48">
        <f>VLOOKUP($B590,[6]Complaints!$A$4:$AJ$39,12,)</f>
        <v>0</v>
      </c>
      <c r="J605" s="48">
        <f>VLOOKUP($B590,[7]Complaints!$A$4:$AJ$39,12,)</f>
        <v>0</v>
      </c>
      <c r="K605" s="48">
        <f>VLOOKUP($B590,[8]Complaints!$A$4:$AJ$39,12,)</f>
        <v>0</v>
      </c>
      <c r="L605" s="48">
        <f>VLOOKUP($B590,[9]Complaints!$A$4:$AJ$39,12,)</f>
        <v>0</v>
      </c>
      <c r="M605" s="48">
        <f>VLOOKUP($B590,[10]Complaints!$A$4:$AJ$39,12,)</f>
        <v>0</v>
      </c>
      <c r="N605" s="48">
        <f>VLOOKUP($B590,[11]Complaints!$A$4:$AJ$39,12,)</f>
        <v>0</v>
      </c>
      <c r="O605" s="49">
        <f>VLOOKUP($B590,[12]Complaints!$A$4:$AJ$39,12,)</f>
        <v>0</v>
      </c>
      <c r="P605" s="55">
        <f t="shared" si="160"/>
        <v>0</v>
      </c>
      <c r="Q605" s="50" t="str">
        <f>IF(P605=0,"",P605/$P592)</f>
        <v/>
      </c>
    </row>
    <row r="606" spans="2:18" ht="15.75" customHeight="1" x14ac:dyDescent="0.2">
      <c r="B606" s="169"/>
      <c r="C606" s="31" t="s">
        <v>78</v>
      </c>
      <c r="D606" s="47">
        <f>VLOOKUP($B590,[1]Complaints!$A$4:$AJ$39,13,)</f>
        <v>0</v>
      </c>
      <c r="E606" s="48">
        <f>VLOOKUP($B590,[2]Complaints!$A$4:$AJ$39,13,)</f>
        <v>0</v>
      </c>
      <c r="F606" s="48">
        <f>VLOOKUP($B590,[3]Complaints!$A$4:$AJ$39,13,)</f>
        <v>0</v>
      </c>
      <c r="G606" s="48">
        <f>VLOOKUP($B590,[4]Complaints!$A$4:$AJ$39,13,)</f>
        <v>0</v>
      </c>
      <c r="H606" s="48">
        <f>VLOOKUP($B590,[5]Complaints!$A$4:$AJ$39,13,)</f>
        <v>0</v>
      </c>
      <c r="I606" s="48">
        <f>VLOOKUP($B590,[6]Complaints!$A$4:$AJ$39,13,)</f>
        <v>0</v>
      </c>
      <c r="J606" s="48">
        <f>VLOOKUP($B590,[7]Complaints!$A$4:$AJ$39,13,)</f>
        <v>0</v>
      </c>
      <c r="K606" s="48">
        <f>VLOOKUP($B590,[8]Complaints!$A$4:$AJ$39,13,)</f>
        <v>0</v>
      </c>
      <c r="L606" s="48">
        <f>VLOOKUP($B590,[9]Complaints!$A$4:$AJ$39,13,)</f>
        <v>0</v>
      </c>
      <c r="M606" s="48">
        <f>VLOOKUP($B590,[10]Complaints!$A$4:$AJ$39,13,)</f>
        <v>0</v>
      </c>
      <c r="N606" s="48">
        <f>VLOOKUP($B590,[11]Complaints!$A$4:$AJ$39,13,)</f>
        <v>0</v>
      </c>
      <c r="O606" s="49">
        <f>VLOOKUP($B590,[12]Complaints!$A$4:$AJ$39,13,)</f>
        <v>0</v>
      </c>
      <c r="P606" s="55">
        <f t="shared" si="160"/>
        <v>0</v>
      </c>
      <c r="Q606" s="50" t="str">
        <f>IF(P606=0,"",P606/$P592)</f>
        <v/>
      </c>
      <c r="R606" s="18"/>
    </row>
    <row r="607" spans="2:18" ht="15.75" customHeight="1" x14ac:dyDescent="0.2">
      <c r="B607" s="169"/>
      <c r="C607" s="31" t="s">
        <v>92</v>
      </c>
      <c r="D607" s="47">
        <f>VLOOKUP($B590,[1]Complaints!$A$4:$AJ$39,14,)</f>
        <v>0</v>
      </c>
      <c r="E607" s="48">
        <f>VLOOKUP($B590,[2]Complaints!$A$4:$AJ$39,14,)</f>
        <v>0</v>
      </c>
      <c r="F607" s="48">
        <f>VLOOKUP($B590,[3]Complaints!$A$4:$AJ$39,14,)</f>
        <v>0</v>
      </c>
      <c r="G607" s="48">
        <f>VLOOKUP($B590,[4]Complaints!$A$4:$AJ$39,14,)</f>
        <v>0</v>
      </c>
      <c r="H607" s="48">
        <f>VLOOKUP($B590,[5]Complaints!$A$4:$AJ$39,14,)</f>
        <v>0</v>
      </c>
      <c r="I607" s="48">
        <f>VLOOKUP($B590,[6]Complaints!$A$4:$AJ$39,14,)</f>
        <v>0</v>
      </c>
      <c r="J607" s="48">
        <f>VLOOKUP($B590,[7]Complaints!$A$4:$AJ$39,14,)</f>
        <v>0</v>
      </c>
      <c r="K607" s="48">
        <f>VLOOKUP($B590,[8]Complaints!$A$4:$AJ$39,14,)</f>
        <v>0</v>
      </c>
      <c r="L607" s="48">
        <f>VLOOKUP($B590,[9]Complaints!$A$4:$AJ$39,14,)</f>
        <v>0</v>
      </c>
      <c r="M607" s="48">
        <f>VLOOKUP($B590,[10]Complaints!$A$4:$AJ$39,14,)</f>
        <v>0</v>
      </c>
      <c r="N607" s="48">
        <f>VLOOKUP($B590,[11]Complaints!$A$4:$AJ$39,14,)</f>
        <v>0</v>
      </c>
      <c r="O607" s="49">
        <f>VLOOKUP($B590,[12]Complaints!$A$4:$AJ$39,14,)</f>
        <v>0</v>
      </c>
      <c r="P607" s="55">
        <f t="shared" si="160"/>
        <v>0</v>
      </c>
      <c r="Q607" s="50" t="str">
        <f>IF(P607=0,"",P607/$P592)</f>
        <v/>
      </c>
      <c r="R607" s="18"/>
    </row>
    <row r="608" spans="2:18" ht="15.75" customHeight="1" x14ac:dyDescent="0.2">
      <c r="B608" s="169"/>
      <c r="C608" s="31" t="s">
        <v>91</v>
      </c>
      <c r="D608" s="47">
        <f>VLOOKUP($B590,[1]Complaints!$A$4:$AJ$39,15,)</f>
        <v>0</v>
      </c>
      <c r="E608" s="48">
        <f>VLOOKUP($B590,[2]Complaints!$A$4:$AJ$39,15,)</f>
        <v>0</v>
      </c>
      <c r="F608" s="48">
        <f>VLOOKUP($B590,[3]Complaints!$A$4:$AJ$39,15,)</f>
        <v>0</v>
      </c>
      <c r="G608" s="48">
        <f>VLOOKUP($B590,[4]Complaints!$A$4:$AJ$39,15,)</f>
        <v>0</v>
      </c>
      <c r="H608" s="48">
        <f>VLOOKUP($B590,[5]Complaints!$A$4:$AJ$39,15,)</f>
        <v>0</v>
      </c>
      <c r="I608" s="48">
        <f>VLOOKUP($B590,[6]Complaints!$A$4:$AJ$39,15,)</f>
        <v>0</v>
      </c>
      <c r="J608" s="48">
        <f>VLOOKUP($B590,[7]Complaints!$A$4:$AJ$39,15,)</f>
        <v>0</v>
      </c>
      <c r="K608" s="48">
        <f>VLOOKUP($B590,[8]Complaints!$A$4:$AJ$39,15,)</f>
        <v>0</v>
      </c>
      <c r="L608" s="48">
        <f>VLOOKUP($B590,[9]Complaints!$A$4:$AJ$39,15,)</f>
        <v>0</v>
      </c>
      <c r="M608" s="48">
        <f>VLOOKUP($B590,[10]Complaints!$A$4:$AJ$39,15,)</f>
        <v>0</v>
      </c>
      <c r="N608" s="48">
        <f>VLOOKUP($B590,[11]Complaints!$A$4:$AJ$39,15,)</f>
        <v>0</v>
      </c>
      <c r="O608" s="49">
        <f>VLOOKUP($B590,[12]Complaints!$A$4:$AJ$39,15,)</f>
        <v>0</v>
      </c>
      <c r="P608" s="55">
        <f t="shared" si="160"/>
        <v>0</v>
      </c>
      <c r="Q608" s="50" t="str">
        <f>IF(P608=0,"",P608/$P592)</f>
        <v/>
      </c>
      <c r="R608" s="18"/>
    </row>
    <row r="609" spans="1:19" ht="15.75" customHeight="1" x14ac:dyDescent="0.2">
      <c r="B609" s="169"/>
      <c r="C609" s="31" t="s">
        <v>79</v>
      </c>
      <c r="D609" s="47">
        <f>VLOOKUP($B590,[1]Complaints!$A$4:$AJ$39,16,)</f>
        <v>0</v>
      </c>
      <c r="E609" s="48">
        <f>VLOOKUP($B590,[2]Complaints!$A$4:$AJ$39,16,)</f>
        <v>0</v>
      </c>
      <c r="F609" s="48">
        <f>VLOOKUP($B590,[3]Complaints!$A$4:$AJ$39,16,)</f>
        <v>0</v>
      </c>
      <c r="G609" s="48">
        <f>VLOOKUP($B590,[4]Complaints!$A$4:$AJ$39,16,)</f>
        <v>0</v>
      </c>
      <c r="H609" s="48">
        <f>VLOOKUP($B590,[5]Complaints!$A$4:$AJ$39,16,)</f>
        <v>0</v>
      </c>
      <c r="I609" s="48">
        <f>VLOOKUP($B590,[6]Complaints!$A$4:$AJ$39,16,)</f>
        <v>0</v>
      </c>
      <c r="J609" s="48">
        <f>VLOOKUP($B590,[7]Complaints!$A$4:$AJ$39,16,)</f>
        <v>0</v>
      </c>
      <c r="K609" s="48">
        <f>VLOOKUP($B590,[8]Complaints!$A$4:$AJ$39,16,)</f>
        <v>0</v>
      </c>
      <c r="L609" s="48">
        <f>VLOOKUP($B590,[9]Complaints!$A$4:$AJ$39,16,)</f>
        <v>0</v>
      </c>
      <c r="M609" s="48">
        <f>VLOOKUP($B590,[10]Complaints!$A$4:$AJ$39,16,)</f>
        <v>0</v>
      </c>
      <c r="N609" s="48">
        <f>VLOOKUP($B590,[11]Complaints!$A$4:$AJ$39,16,)</f>
        <v>0</v>
      </c>
      <c r="O609" s="49">
        <f>VLOOKUP($B590,[12]Complaints!$A$4:$AJ$39,16,)</f>
        <v>0</v>
      </c>
      <c r="P609" s="55">
        <f t="shared" si="160"/>
        <v>0</v>
      </c>
      <c r="Q609" s="50" t="str">
        <f>IF(P609=0,"",P609/$P592)</f>
        <v/>
      </c>
      <c r="R609" s="18"/>
    </row>
    <row r="610" spans="1:19" ht="15.75" customHeight="1" x14ac:dyDescent="0.2">
      <c r="B610" s="169"/>
      <c r="C610" s="31" t="s">
        <v>80</v>
      </c>
      <c r="D610" s="47">
        <f>VLOOKUP($B590,[1]Complaints!$A$4:$AJ$39,17,)</f>
        <v>0</v>
      </c>
      <c r="E610" s="48">
        <f>VLOOKUP($B590,[2]Complaints!$A$4:$AJ$39,17,)</f>
        <v>0</v>
      </c>
      <c r="F610" s="48">
        <f>VLOOKUP($B590,[3]Complaints!$A$4:$AJ$39,17,)</f>
        <v>0</v>
      </c>
      <c r="G610" s="48">
        <f>VLOOKUP($B590,[4]Complaints!$A$4:$AJ$39,17,)</f>
        <v>0</v>
      </c>
      <c r="H610" s="48">
        <f>VLOOKUP($B590,[5]Complaints!$A$4:$AJ$39,17,)</f>
        <v>0</v>
      </c>
      <c r="I610" s="48">
        <f>VLOOKUP($B590,[6]Complaints!$A$4:$AJ$39,17,)</f>
        <v>0</v>
      </c>
      <c r="J610" s="48">
        <f>VLOOKUP($B590,[7]Complaints!$A$4:$AJ$39,17,)</f>
        <v>0</v>
      </c>
      <c r="K610" s="48">
        <f>VLOOKUP($B590,[8]Complaints!$A$4:$AJ$39,17,)</f>
        <v>0</v>
      </c>
      <c r="L610" s="48">
        <f>VLOOKUP($B590,[9]Complaints!$A$4:$AJ$39,17,)</f>
        <v>0</v>
      </c>
      <c r="M610" s="48">
        <f>VLOOKUP($B590,[10]Complaints!$A$4:$AJ$39,17,)</f>
        <v>0</v>
      </c>
      <c r="N610" s="48">
        <f>VLOOKUP($B590,[11]Complaints!$A$4:$AJ$39,17,)</f>
        <v>0</v>
      </c>
      <c r="O610" s="49">
        <f>VLOOKUP($B590,[12]Complaints!$A$4:$AJ$39,17,)</f>
        <v>0</v>
      </c>
      <c r="P610" s="55">
        <f t="shared" si="160"/>
        <v>0</v>
      </c>
      <c r="Q610" s="50" t="str">
        <f>IF(P610=0,"",P610/$P592)</f>
        <v/>
      </c>
      <c r="R610" s="18"/>
    </row>
    <row r="611" spans="1:19" ht="15.75" customHeight="1" x14ac:dyDescent="0.2">
      <c r="B611" s="169"/>
      <c r="C611" s="31" t="s">
        <v>81</v>
      </c>
      <c r="D611" s="47">
        <f>VLOOKUP($B590,[1]Complaints!$A$4:$AJ$39,18,)</f>
        <v>0</v>
      </c>
      <c r="E611" s="48">
        <f>VLOOKUP($B590,[2]Complaints!$A$4:$AJ$39,18,)</f>
        <v>0</v>
      </c>
      <c r="F611" s="48">
        <f>VLOOKUP($B590,[3]Complaints!$A$4:$AJ$39,18,)</f>
        <v>0</v>
      </c>
      <c r="G611" s="48">
        <f>VLOOKUP($B590,[4]Complaints!$A$4:$AJ$39,18,)</f>
        <v>0</v>
      </c>
      <c r="H611" s="48">
        <f>VLOOKUP($B590,[5]Complaints!$A$4:$AJ$39,18,)</f>
        <v>0</v>
      </c>
      <c r="I611" s="48">
        <f>VLOOKUP($B590,[6]Complaints!$A$4:$AJ$39,18,)</f>
        <v>0</v>
      </c>
      <c r="J611" s="48">
        <f>VLOOKUP($B590,[7]Complaints!$A$4:$AJ$39,18,)</f>
        <v>0</v>
      </c>
      <c r="K611" s="48">
        <f>VLOOKUP($B590,[8]Complaints!$A$4:$AJ$39,18,)</f>
        <v>0</v>
      </c>
      <c r="L611" s="48">
        <f>VLOOKUP($B590,[9]Complaints!$A$4:$AJ$39,18,)</f>
        <v>0</v>
      </c>
      <c r="M611" s="48">
        <f>VLOOKUP($B590,[10]Complaints!$A$4:$AJ$39,18,)</f>
        <v>0</v>
      </c>
      <c r="N611" s="48">
        <f>VLOOKUP($B590,[11]Complaints!$A$4:$AJ$39,18,)</f>
        <v>0</v>
      </c>
      <c r="O611" s="49">
        <f>VLOOKUP($B590,[12]Complaints!$A$4:$AJ$39,18,)</f>
        <v>0</v>
      </c>
      <c r="P611" s="55">
        <f t="shared" si="160"/>
        <v>0</v>
      </c>
      <c r="Q611" s="50" t="str">
        <f>IF(P611=0,"",P611/$P592)</f>
        <v/>
      </c>
      <c r="R611" s="18"/>
    </row>
    <row r="612" spans="1:19" ht="15.75" customHeight="1" x14ac:dyDescent="0.2">
      <c r="B612" s="169"/>
      <c r="C612" s="31" t="s">
        <v>82</v>
      </c>
      <c r="D612" s="47">
        <f>VLOOKUP($B590,[1]Complaints!$A$4:$AJ$39,19,)</f>
        <v>0</v>
      </c>
      <c r="E612" s="48">
        <f>VLOOKUP($B590,[2]Complaints!$A$4:$AJ$39,19,)</f>
        <v>0</v>
      </c>
      <c r="F612" s="48">
        <f>VLOOKUP($B590,[3]Complaints!$A$4:$AJ$39,19,)</f>
        <v>0</v>
      </c>
      <c r="G612" s="48">
        <f>VLOOKUP($B590,[4]Complaints!$A$4:$AJ$39,19,)</f>
        <v>0</v>
      </c>
      <c r="H612" s="48">
        <f>VLOOKUP($B590,[5]Complaints!$A$4:$AJ$39,19,)</f>
        <v>0</v>
      </c>
      <c r="I612" s="48">
        <f>VLOOKUP($B590,[6]Complaints!$A$4:$AJ$39,19,)</f>
        <v>0</v>
      </c>
      <c r="J612" s="48">
        <f>VLOOKUP($B590,[7]Complaints!$A$4:$AJ$39,19,)</f>
        <v>0</v>
      </c>
      <c r="K612" s="48">
        <f>VLOOKUP($B590,[8]Complaints!$A$4:$AJ$39,19,)</f>
        <v>0</v>
      </c>
      <c r="L612" s="48">
        <f>VLOOKUP($B590,[9]Complaints!$A$4:$AJ$39,19,)</f>
        <v>0</v>
      </c>
      <c r="M612" s="48">
        <f>VLOOKUP($B590,[10]Complaints!$A$4:$AJ$39,19,)</f>
        <v>0</v>
      </c>
      <c r="N612" s="48">
        <f>VLOOKUP($B590,[11]Complaints!$A$4:$AJ$39,19,)</f>
        <v>0</v>
      </c>
      <c r="O612" s="49">
        <f>VLOOKUP($B590,[12]Complaints!$A$4:$AJ$39,19,)</f>
        <v>0</v>
      </c>
      <c r="P612" s="55">
        <f t="shared" si="160"/>
        <v>0</v>
      </c>
      <c r="Q612" s="50" t="str">
        <f>IF(P612=0,"",P612/$P592)</f>
        <v/>
      </c>
      <c r="R612" s="18"/>
    </row>
    <row r="613" spans="1:19" ht="15.75" customHeight="1" thickBot="1" x14ac:dyDescent="0.25">
      <c r="B613" s="170"/>
      <c r="C613" s="31" t="s">
        <v>83</v>
      </c>
      <c r="D613" s="47">
        <f>VLOOKUP($B590,[1]Complaints!$A$4:$AJ$39,20,)</f>
        <v>0</v>
      </c>
      <c r="E613" s="48">
        <f>VLOOKUP($B590,[2]Complaints!$A$4:$AJ$39,20,)</f>
        <v>0</v>
      </c>
      <c r="F613" s="48">
        <f>VLOOKUP($B590,[3]Complaints!$A$4:$AJ$39,20,)</f>
        <v>0</v>
      </c>
      <c r="G613" s="48">
        <f>VLOOKUP($B590,[4]Complaints!$A$4:$AJ$39,20,)</f>
        <v>0</v>
      </c>
      <c r="H613" s="48">
        <f>VLOOKUP($B590,[5]Complaints!$A$4:$AJ$39,20,)</f>
        <v>0</v>
      </c>
      <c r="I613" s="48">
        <f>VLOOKUP($B590,[6]Complaints!$A$4:$AJ$39,20,)</f>
        <v>0</v>
      </c>
      <c r="J613" s="48">
        <f>VLOOKUP($B590,[7]Complaints!$A$4:$AJ$39,20,)</f>
        <v>0</v>
      </c>
      <c r="K613" s="48">
        <f>VLOOKUP($B590,[8]Complaints!$A$4:$AJ$39,20,)</f>
        <v>0</v>
      </c>
      <c r="L613" s="48">
        <f>VLOOKUP($B590,[9]Complaints!$A$4:$AJ$39,20,)</f>
        <v>0</v>
      </c>
      <c r="M613" s="48">
        <f>VLOOKUP($B590,[10]Complaints!$A$4:$AJ$39,20,)</f>
        <v>0</v>
      </c>
      <c r="N613" s="48">
        <f>VLOOKUP($B590,[11]Complaints!$A$4:$AJ$39,20,)</f>
        <v>0</v>
      </c>
      <c r="O613" s="49">
        <f>VLOOKUP($B590,[12]Complaints!$A$4:$AJ$39,20,)</f>
        <v>0</v>
      </c>
      <c r="P613" s="55">
        <f t="shared" si="160"/>
        <v>0</v>
      </c>
      <c r="Q613" s="50" t="str">
        <f>IF(P613=0,"",P613/$P592)</f>
        <v/>
      </c>
      <c r="R613" s="18"/>
    </row>
    <row r="614" spans="1:19" ht="15.75" customHeight="1" x14ac:dyDescent="0.2">
      <c r="B614" s="144" t="s">
        <v>90</v>
      </c>
      <c r="C614" s="37" t="s">
        <v>118</v>
      </c>
      <c r="D614" s="62">
        <f>VLOOKUP($B590,[1]Complaints!$A$4:$AJ$39,21,)</f>
        <v>0</v>
      </c>
      <c r="E614" s="63">
        <f>VLOOKUP($B590,[2]Complaints!$A$4:$AJ$39,21,)</f>
        <v>0</v>
      </c>
      <c r="F614" s="63">
        <f>VLOOKUP($B590,[3]Complaints!$A$4:$AJ$39,21,)</f>
        <v>0</v>
      </c>
      <c r="G614" s="63">
        <f>VLOOKUP($B590,[4]Complaints!$A$4:$AJ$39,21,)</f>
        <v>0</v>
      </c>
      <c r="H614" s="63">
        <f>VLOOKUP($B590,[5]Complaints!$A$4:$AJ$39,21,)</f>
        <v>0</v>
      </c>
      <c r="I614" s="63">
        <f>VLOOKUP($B590,[6]Complaints!$A$4:$AJ$39,21,)</f>
        <v>0</v>
      </c>
      <c r="J614" s="63">
        <f>VLOOKUP($B590,[7]Complaints!$A$4:$AJ$39,21,)</f>
        <v>0</v>
      </c>
      <c r="K614" s="63">
        <f>VLOOKUP($B590,[8]Complaints!$A$4:$AJ$39,21,)</f>
        <v>0</v>
      </c>
      <c r="L614" s="63">
        <f>VLOOKUP($B590,[9]Complaints!$A$4:$AJ$39,21,)</f>
        <v>0</v>
      </c>
      <c r="M614" s="63">
        <f>VLOOKUP($B590,[10]Complaints!$A$4:$AJ$39,21,)</f>
        <v>0</v>
      </c>
      <c r="N614" s="63">
        <f>VLOOKUP($B590,[11]Complaints!$A$4:$AJ$39,21,)</f>
        <v>0</v>
      </c>
      <c r="O614" s="64">
        <f>VLOOKUP($B590,[12]Complaints!$A$4:$AJ$39,21,)</f>
        <v>0</v>
      </c>
      <c r="P614" s="65">
        <f>SUM(D614:O614)</f>
        <v>0</v>
      </c>
      <c r="Q614" s="46" t="str">
        <f>IF(P614=0,"",P614/$P598)</f>
        <v/>
      </c>
      <c r="R614" s="18"/>
    </row>
    <row r="615" spans="1:19" ht="15.75" customHeight="1" x14ac:dyDescent="0.2">
      <c r="B615" s="145"/>
      <c r="C615" s="38" t="s">
        <v>77</v>
      </c>
      <c r="D615" s="66">
        <f>VLOOKUP($B590,[1]Complaints!$A$4:$AJ$39,22,)</f>
        <v>0</v>
      </c>
      <c r="E615" s="67">
        <f>VLOOKUP($B590,[2]Complaints!$A$4:$AJ$39,22,)</f>
        <v>0</v>
      </c>
      <c r="F615" s="67">
        <f>VLOOKUP($B590,[3]Complaints!$A$4:$AJ$39,22,)</f>
        <v>0</v>
      </c>
      <c r="G615" s="67">
        <f>VLOOKUP($B590,[4]Complaints!$A$4:$AJ$39,22,)</f>
        <v>0</v>
      </c>
      <c r="H615" s="67">
        <f>VLOOKUP($B590,[5]Complaints!$A$4:$AJ$39,22,)</f>
        <v>0</v>
      </c>
      <c r="I615" s="67">
        <f>VLOOKUP($B590,[6]Complaints!$A$4:$AJ$39,22,)</f>
        <v>0</v>
      </c>
      <c r="J615" s="67">
        <f>VLOOKUP($B590,[7]Complaints!$A$4:$AJ$39,22,)</f>
        <v>0</v>
      </c>
      <c r="K615" s="67">
        <f>VLOOKUP($B590,[8]Complaints!$A$4:$AJ$39,22,)</f>
        <v>0</v>
      </c>
      <c r="L615" s="67">
        <f>VLOOKUP($B590,[9]Complaints!$A$4:$AJ$39,22,)</f>
        <v>0</v>
      </c>
      <c r="M615" s="67">
        <f>VLOOKUP($B590,[10]Complaints!$A$4:$AJ$39,22,)</f>
        <v>0</v>
      </c>
      <c r="N615" s="67">
        <f>VLOOKUP($B590,[11]Complaints!$A$4:$AJ$39,22,)</f>
        <v>0</v>
      </c>
      <c r="O615" s="68">
        <f>VLOOKUP($B590,[12]Complaints!$A$4:$AJ$39,22,)</f>
        <v>0</v>
      </c>
      <c r="P615" s="69">
        <f t="shared" ref="P615:P629" si="161">SUM(D615:O615)</f>
        <v>0</v>
      </c>
      <c r="Q615" s="70" t="str">
        <f>IF(P615=0,"",P615/$P598)</f>
        <v/>
      </c>
      <c r="R615" s="18"/>
    </row>
    <row r="616" spans="1:19" ht="15.75" customHeight="1" x14ac:dyDescent="0.2">
      <c r="B616" s="145"/>
      <c r="C616" s="38" t="s">
        <v>108</v>
      </c>
      <c r="D616" s="66">
        <f>VLOOKUP($B590,[1]Complaints!$A$4:$AJ$39,23,)</f>
        <v>0</v>
      </c>
      <c r="E616" s="67">
        <f>VLOOKUP($B590,[2]Complaints!$A$4:$AJ$39,23,)</f>
        <v>0</v>
      </c>
      <c r="F616" s="67">
        <f>VLOOKUP($B590,[3]Complaints!$A$4:$AJ$39,23,)</f>
        <v>0</v>
      </c>
      <c r="G616" s="67">
        <f>VLOOKUP($B590,[4]Complaints!$A$4:$AJ$39,23,)</f>
        <v>0</v>
      </c>
      <c r="H616" s="67">
        <f>VLOOKUP($B590,[5]Complaints!$A$4:$AJ$39,23,)</f>
        <v>0</v>
      </c>
      <c r="I616" s="67">
        <f>VLOOKUP($B590,[6]Complaints!$A$4:$AJ$39,23,)</f>
        <v>0</v>
      </c>
      <c r="J616" s="67">
        <f>VLOOKUP($B590,[7]Complaints!$A$4:$AJ$39,23,)</f>
        <v>0</v>
      </c>
      <c r="K616" s="67">
        <f>VLOOKUP($B590,[8]Complaints!$A$4:$AJ$39,23,)</f>
        <v>0</v>
      </c>
      <c r="L616" s="67">
        <f>VLOOKUP($B590,[9]Complaints!$A$4:$AJ$39,23,)</f>
        <v>0</v>
      </c>
      <c r="M616" s="67">
        <f>VLOOKUP($B590,[10]Complaints!$A$4:$AJ$39,23,)</f>
        <v>0</v>
      </c>
      <c r="N616" s="67">
        <f>VLOOKUP($B590,[11]Complaints!$A$4:$AJ$39,23,)</f>
        <v>0</v>
      </c>
      <c r="O616" s="68">
        <f>VLOOKUP($B590,[12]Complaints!$A$4:$AJ$39,23,)</f>
        <v>0</v>
      </c>
      <c r="P616" s="69">
        <f t="shared" si="161"/>
        <v>0</v>
      </c>
      <c r="Q616" s="70" t="str">
        <f>IF(P616=0,"",P616/$P598)</f>
        <v/>
      </c>
      <c r="R616" s="18"/>
    </row>
    <row r="617" spans="1:19" ht="15.75" customHeight="1" x14ac:dyDescent="0.2">
      <c r="B617" s="145"/>
      <c r="C617" s="38" t="s">
        <v>88</v>
      </c>
      <c r="D617" s="66">
        <f>VLOOKUP($B590,[1]Complaints!$A$4:$AJ$39,24,)</f>
        <v>0</v>
      </c>
      <c r="E617" s="67">
        <f>VLOOKUP($B590,[2]Complaints!$A$4:$AJ$39,24,)</f>
        <v>0</v>
      </c>
      <c r="F617" s="67">
        <f>VLOOKUP($B590,[3]Complaints!$A$4:$AJ$39,24,)</f>
        <v>0</v>
      </c>
      <c r="G617" s="67">
        <f>VLOOKUP($B590,[4]Complaints!$A$4:$AJ$39,24,)</f>
        <v>0</v>
      </c>
      <c r="H617" s="67">
        <f>VLOOKUP($B590,[5]Complaints!$A$4:$AJ$39,24,)</f>
        <v>0</v>
      </c>
      <c r="I617" s="67">
        <f>VLOOKUP($B590,[6]Complaints!$A$4:$AJ$39,24,)</f>
        <v>0</v>
      </c>
      <c r="J617" s="67">
        <f>VLOOKUP($B590,[7]Complaints!$A$4:$AJ$39,24,)</f>
        <v>0</v>
      </c>
      <c r="K617" s="67">
        <f>VLOOKUP($B590,[8]Complaints!$A$4:$AJ$39,24,)</f>
        <v>0</v>
      </c>
      <c r="L617" s="67">
        <f>VLOOKUP($B590,[9]Complaints!$A$4:$AJ$39,24,)</f>
        <v>0</v>
      </c>
      <c r="M617" s="67">
        <f>VLOOKUP($B590,[10]Complaints!$A$4:$AJ$39,24,)</f>
        <v>0</v>
      </c>
      <c r="N617" s="67">
        <f>VLOOKUP($B590,[11]Complaints!$A$4:$AJ$39,24,)</f>
        <v>0</v>
      </c>
      <c r="O617" s="68">
        <f>VLOOKUP($B590,[12]Complaints!$A$4:$AJ$39,24,)</f>
        <v>0</v>
      </c>
      <c r="P617" s="69">
        <f t="shared" si="161"/>
        <v>0</v>
      </c>
      <c r="Q617" s="70" t="str">
        <f>IF(P617=0,"",P617/$P598)</f>
        <v/>
      </c>
      <c r="R617" s="18"/>
    </row>
    <row r="618" spans="1:19" ht="15.75" customHeight="1" x14ac:dyDescent="0.2">
      <c r="B618" s="145"/>
      <c r="C618" s="38" t="s">
        <v>109</v>
      </c>
      <c r="D618" s="66">
        <f>VLOOKUP($B590,[1]Complaints!$A$4:$AJ$39,25,)</f>
        <v>0</v>
      </c>
      <c r="E618" s="67">
        <f>VLOOKUP($B590,[2]Complaints!$A$4:$AJ$39,25,)</f>
        <v>0</v>
      </c>
      <c r="F618" s="67">
        <f>VLOOKUP($B590,[3]Complaints!$A$4:$AJ$39,25,)</f>
        <v>0</v>
      </c>
      <c r="G618" s="67">
        <f>VLOOKUP($B590,[4]Complaints!$A$4:$AJ$39,25,)</f>
        <v>0</v>
      </c>
      <c r="H618" s="67">
        <f>VLOOKUP($B590,[5]Complaints!$A$4:$AJ$39,25,)</f>
        <v>0</v>
      </c>
      <c r="I618" s="67">
        <f>VLOOKUP($B590,[6]Complaints!$A$4:$AJ$39,25,)</f>
        <v>0</v>
      </c>
      <c r="J618" s="67">
        <f>VLOOKUP($B590,[7]Complaints!$A$4:$AJ$39,25,)</f>
        <v>0</v>
      </c>
      <c r="K618" s="67">
        <f>VLOOKUP($B590,[8]Complaints!$A$4:$AJ$39,25,)</f>
        <v>0</v>
      </c>
      <c r="L618" s="67">
        <f>VLOOKUP($B590,[9]Complaints!$A$4:$AJ$39,25,)</f>
        <v>0</v>
      </c>
      <c r="M618" s="67">
        <f>VLOOKUP($B590,[10]Complaints!$A$4:$AJ$39,25,)</f>
        <v>0</v>
      </c>
      <c r="N618" s="67">
        <f>VLOOKUP($B590,[11]Complaints!$A$4:$AJ$39,25,)</f>
        <v>0</v>
      </c>
      <c r="O618" s="68">
        <f>VLOOKUP($B590,[12]Complaints!$A$4:$AJ$39,25,)</f>
        <v>0</v>
      </c>
      <c r="P618" s="69">
        <f t="shared" si="161"/>
        <v>0</v>
      </c>
      <c r="Q618" s="70" t="str">
        <f>IF(P618=0,"",P618/$P598)</f>
        <v/>
      </c>
      <c r="R618" s="18"/>
    </row>
    <row r="619" spans="1:19" ht="15.75" customHeight="1" x14ac:dyDescent="0.2">
      <c r="A619" s="21"/>
      <c r="B619" s="145"/>
      <c r="C619" s="38" t="s">
        <v>110</v>
      </c>
      <c r="D619" s="66">
        <f>VLOOKUP($B590,[1]Complaints!$A$4:$AJ$39,26,)</f>
        <v>0</v>
      </c>
      <c r="E619" s="67">
        <f>VLOOKUP($B590,[2]Complaints!$A$4:$AJ$39,26,)</f>
        <v>0</v>
      </c>
      <c r="F619" s="67">
        <f>VLOOKUP($B590,[3]Complaints!$A$4:$AJ$39,26,)</f>
        <v>0</v>
      </c>
      <c r="G619" s="67">
        <f>VLOOKUP($B590,[4]Complaints!$A$4:$AJ$39,26,)</f>
        <v>0</v>
      </c>
      <c r="H619" s="67">
        <f>VLOOKUP($B590,[5]Complaints!$A$4:$AJ$39,26,)</f>
        <v>0</v>
      </c>
      <c r="I619" s="67">
        <f>VLOOKUP($B590,[6]Complaints!$A$4:$AJ$39,26,)</f>
        <v>0</v>
      </c>
      <c r="J619" s="67">
        <f>VLOOKUP($B590,[7]Complaints!$A$4:$AJ$39,26,)</f>
        <v>0</v>
      </c>
      <c r="K619" s="67">
        <f>VLOOKUP($B590,[8]Complaints!$A$4:$AJ$39,26,)</f>
        <v>0</v>
      </c>
      <c r="L619" s="67">
        <f>VLOOKUP($B590,[9]Complaints!$A$4:$AJ$39,26,)</f>
        <v>0</v>
      </c>
      <c r="M619" s="67">
        <f>VLOOKUP($B590,[10]Complaints!$A$4:$AJ$39,26,)</f>
        <v>0</v>
      </c>
      <c r="N619" s="67">
        <f>VLOOKUP($B590,[11]Complaints!$A$4:$AJ$39,26,)</f>
        <v>0</v>
      </c>
      <c r="O619" s="68">
        <f>VLOOKUP($B590,[12]Complaints!$A$4:$AJ$39,26,)</f>
        <v>0</v>
      </c>
      <c r="P619" s="69">
        <f t="shared" si="161"/>
        <v>0</v>
      </c>
      <c r="Q619" s="70" t="str">
        <f>IF(P619=0,"",P619/$P598)</f>
        <v/>
      </c>
      <c r="R619" s="18"/>
    </row>
    <row r="620" spans="1:19" s="21" customFormat="1" ht="15.75" customHeight="1" x14ac:dyDescent="0.2">
      <c r="B620" s="145"/>
      <c r="C620" s="39" t="s">
        <v>107</v>
      </c>
      <c r="D620" s="71">
        <f>VLOOKUP($B590,[1]Complaints!$A$4:$AJ$39,27,)</f>
        <v>0</v>
      </c>
      <c r="E620" s="72">
        <f>VLOOKUP($B590,[2]Complaints!$A$4:$AJ$39,27,)</f>
        <v>0</v>
      </c>
      <c r="F620" s="72">
        <f>VLOOKUP($B590,[3]Complaints!$A$4:$AJ$39,27,)</f>
        <v>0</v>
      </c>
      <c r="G620" s="72">
        <f>VLOOKUP($B590,[4]Complaints!$A$4:$AJ$39,27,)</f>
        <v>0</v>
      </c>
      <c r="H620" s="72">
        <f>VLOOKUP($B590,[5]Complaints!$A$4:$AJ$39,27,)</f>
        <v>0</v>
      </c>
      <c r="I620" s="72">
        <f>VLOOKUP($B590,[6]Complaints!$A$4:$AJ$39,27,)</f>
        <v>0</v>
      </c>
      <c r="J620" s="72">
        <f>VLOOKUP($B590,[7]Complaints!$A$4:$AJ$39,27,)</f>
        <v>0</v>
      </c>
      <c r="K620" s="72">
        <f>VLOOKUP($B590,[8]Complaints!$A$4:$AJ$39,27,)</f>
        <v>0</v>
      </c>
      <c r="L620" s="72">
        <f>VLOOKUP($B590,[9]Complaints!$A$4:$AJ$39,27,)</f>
        <v>0</v>
      </c>
      <c r="M620" s="72">
        <f>VLOOKUP($B590,[10]Complaints!$A$4:$AJ$39,27,)</f>
        <v>0</v>
      </c>
      <c r="N620" s="72">
        <f>VLOOKUP($B590,[11]Complaints!$A$4:$AJ$39,27,)</f>
        <v>0</v>
      </c>
      <c r="O620" s="73">
        <f>VLOOKUP($B590,[12]Complaints!$A$4:$AJ$39,27,)</f>
        <v>0</v>
      </c>
      <c r="P620" s="69">
        <f t="shared" si="161"/>
        <v>0</v>
      </c>
      <c r="Q620" s="70" t="str">
        <f>IF(P620=0,"",P620/$P598)</f>
        <v/>
      </c>
      <c r="S620" s="18"/>
    </row>
    <row r="621" spans="1:19" ht="15.75" customHeight="1" x14ac:dyDescent="0.2">
      <c r="B621" s="145"/>
      <c r="C621" s="39" t="s">
        <v>87</v>
      </c>
      <c r="D621" s="71">
        <f>VLOOKUP($B590,[1]Complaints!$A$4:$AJ$39,28,)</f>
        <v>0</v>
      </c>
      <c r="E621" s="72">
        <f>VLOOKUP($B590,[2]Complaints!$A$4:$AJ$39,28,)</f>
        <v>0</v>
      </c>
      <c r="F621" s="72">
        <f>VLOOKUP($B590,[3]Complaints!$A$4:$AJ$39,28,)</f>
        <v>0</v>
      </c>
      <c r="G621" s="72">
        <f>VLOOKUP($B590,[4]Complaints!$A$4:$AJ$39,28,)</f>
        <v>0</v>
      </c>
      <c r="H621" s="72">
        <f>VLOOKUP($B590,[5]Complaints!$A$4:$AJ$39,28,)</f>
        <v>0</v>
      </c>
      <c r="I621" s="72">
        <f>VLOOKUP($B590,[6]Complaints!$A$4:$AJ$39,28,)</f>
        <v>0</v>
      </c>
      <c r="J621" s="72">
        <f>VLOOKUP($B590,[7]Complaints!$A$4:$AJ$39,28,)</f>
        <v>0</v>
      </c>
      <c r="K621" s="72">
        <f>VLOOKUP($B590,[8]Complaints!$A$4:$AJ$39,28,)</f>
        <v>0</v>
      </c>
      <c r="L621" s="72">
        <f>VLOOKUP($B590,[9]Complaints!$A$4:$AJ$39,28,)</f>
        <v>0</v>
      </c>
      <c r="M621" s="72">
        <f>VLOOKUP($B590,[10]Complaints!$A$4:$AJ$39,28,)</f>
        <v>0</v>
      </c>
      <c r="N621" s="72">
        <f>VLOOKUP($B590,[11]Complaints!$A$4:$AJ$39,28,)</f>
        <v>0</v>
      </c>
      <c r="O621" s="73">
        <f>VLOOKUP($B590,[12]Complaints!$A$4:$AJ$39,28,)</f>
        <v>0</v>
      </c>
      <c r="P621" s="69">
        <f t="shared" si="161"/>
        <v>0</v>
      </c>
      <c r="Q621" s="70" t="str">
        <f>IF(P621=0,"",P621/$P598)</f>
        <v/>
      </c>
      <c r="R621" s="18"/>
    </row>
    <row r="622" spans="1:19" ht="15.75" customHeight="1" x14ac:dyDescent="0.2">
      <c r="B622" s="145"/>
      <c r="C622" s="38" t="s">
        <v>111</v>
      </c>
      <c r="D622" s="66">
        <f>VLOOKUP($B590,[1]Complaints!$A$4:$AJ$39,29,)</f>
        <v>0</v>
      </c>
      <c r="E622" s="67">
        <f>VLOOKUP($B590,[2]Complaints!$A$4:$AJ$39,29,)</f>
        <v>0</v>
      </c>
      <c r="F622" s="67">
        <f>VLOOKUP($B590,[3]Complaints!$A$4:$AJ$39,29,)</f>
        <v>0</v>
      </c>
      <c r="G622" s="67">
        <f>VLOOKUP($B590,[4]Complaints!$A$4:$AJ$39,29,)</f>
        <v>0</v>
      </c>
      <c r="H622" s="67">
        <f>VLOOKUP($B590,[5]Complaints!$A$4:$AJ$39,29,)</f>
        <v>0</v>
      </c>
      <c r="I622" s="67">
        <f>VLOOKUP($B590,[6]Complaints!$A$4:$AJ$39,29,)</f>
        <v>0</v>
      </c>
      <c r="J622" s="67">
        <f>VLOOKUP($B590,[7]Complaints!$A$4:$AJ$39,29,)</f>
        <v>0</v>
      </c>
      <c r="K622" s="67">
        <f>VLOOKUP($B590,[8]Complaints!$A$4:$AJ$39,29,)</f>
        <v>0</v>
      </c>
      <c r="L622" s="67">
        <f>VLOOKUP($B590,[9]Complaints!$A$4:$AJ$39,29,)</f>
        <v>0</v>
      </c>
      <c r="M622" s="67">
        <f>VLOOKUP($B590,[10]Complaints!$A$4:$AJ$39,29,)</f>
        <v>0</v>
      </c>
      <c r="N622" s="67">
        <f>VLOOKUP($B590,[11]Complaints!$A$4:$AJ$39,29,)</f>
        <v>0</v>
      </c>
      <c r="O622" s="68">
        <f>VLOOKUP($B590,[12]Complaints!$A$4:$AJ$39,29,)</f>
        <v>0</v>
      </c>
      <c r="P622" s="69">
        <f t="shared" si="161"/>
        <v>0</v>
      </c>
      <c r="Q622" s="70" t="str">
        <f>IF(P622=0,"",P622/$P598)</f>
        <v/>
      </c>
      <c r="R622" s="18"/>
    </row>
    <row r="623" spans="1:19" ht="15.75" customHeight="1" x14ac:dyDescent="0.2">
      <c r="B623" s="145"/>
      <c r="C623" s="38" t="s">
        <v>112</v>
      </c>
      <c r="D623" s="66">
        <f>VLOOKUP($B590,[1]Complaints!$A$4:$AJ$39,30,)</f>
        <v>0</v>
      </c>
      <c r="E623" s="67">
        <f>VLOOKUP($B590,[2]Complaints!$A$4:$AJ$39,30,)</f>
        <v>0</v>
      </c>
      <c r="F623" s="67">
        <f>VLOOKUP($B590,[3]Complaints!$A$4:$AJ$39,30,)</f>
        <v>0</v>
      </c>
      <c r="G623" s="67">
        <f>VLOOKUP($B590,[4]Complaints!$A$4:$AJ$39,30,)</f>
        <v>0</v>
      </c>
      <c r="H623" s="67">
        <f>VLOOKUP($B590,[5]Complaints!$A$4:$AJ$39,30,)</f>
        <v>0</v>
      </c>
      <c r="I623" s="67">
        <f>VLOOKUP($B590,[6]Complaints!$A$4:$AJ$39,30,)</f>
        <v>0</v>
      </c>
      <c r="J623" s="67">
        <f>VLOOKUP($B590,[7]Complaints!$A$4:$AJ$39,30,)</f>
        <v>0</v>
      </c>
      <c r="K623" s="67">
        <f>VLOOKUP($B590,[8]Complaints!$A$4:$AJ$39,30,)</f>
        <v>0</v>
      </c>
      <c r="L623" s="67">
        <f>VLOOKUP($B590,[9]Complaints!$A$4:$AJ$39,30,)</f>
        <v>0</v>
      </c>
      <c r="M623" s="67">
        <f>VLOOKUP($B590,[10]Complaints!$A$4:$AJ$39,30,)</f>
        <v>0</v>
      </c>
      <c r="N623" s="67">
        <f>VLOOKUP($B590,[11]Complaints!$A$4:$AJ$39,30,)</f>
        <v>0</v>
      </c>
      <c r="O623" s="68">
        <f>VLOOKUP($B590,[12]Complaints!$A$4:$AJ$39,30,)</f>
        <v>0</v>
      </c>
      <c r="P623" s="69">
        <f t="shared" si="161"/>
        <v>0</v>
      </c>
      <c r="Q623" s="70" t="str">
        <f>IF(P623=0,"",P623/$P598)</f>
        <v/>
      </c>
      <c r="R623" s="18"/>
    </row>
    <row r="624" spans="1:19" ht="15.75" customHeight="1" x14ac:dyDescent="0.2">
      <c r="B624" s="146"/>
      <c r="C624" s="40" t="s">
        <v>119</v>
      </c>
      <c r="D624" s="74">
        <f>VLOOKUP($B590,[1]Complaints!$A$4:$AJ$39,31,)</f>
        <v>0</v>
      </c>
      <c r="E624" s="75">
        <f>VLOOKUP($B590,[2]Complaints!$A$4:$AJ$39,31,)</f>
        <v>0</v>
      </c>
      <c r="F624" s="75">
        <f>VLOOKUP($B590,[3]Complaints!$A$4:$AJ$39,31,)</f>
        <v>0</v>
      </c>
      <c r="G624" s="75">
        <f>VLOOKUP($B590,[4]Complaints!$A$4:$AJ$39,31,)</f>
        <v>0</v>
      </c>
      <c r="H624" s="75">
        <f>VLOOKUP($B590,[5]Complaints!$A$4:$AJ$39,31,)</f>
        <v>0</v>
      </c>
      <c r="I624" s="75">
        <f>VLOOKUP($B590,[6]Complaints!$A$4:$AJ$39,31,)</f>
        <v>0</v>
      </c>
      <c r="J624" s="75">
        <f>VLOOKUP($B590,[7]Complaints!$A$4:$AJ$39,31,)</f>
        <v>0</v>
      </c>
      <c r="K624" s="75">
        <f>VLOOKUP($B590,[8]Complaints!$A$4:$AJ$39,31,)</f>
        <v>0</v>
      </c>
      <c r="L624" s="75">
        <f>VLOOKUP($B590,[9]Complaints!$A$4:$AJ$39,31,)</f>
        <v>0</v>
      </c>
      <c r="M624" s="75">
        <f>VLOOKUP($B590,[10]Complaints!$A$4:$AJ$39,31,)</f>
        <v>0</v>
      </c>
      <c r="N624" s="75">
        <f>VLOOKUP($B590,[11]Complaints!$A$4:$AJ$39,31,)</f>
        <v>0</v>
      </c>
      <c r="O624" s="76">
        <f>VLOOKUP($B590,[12]Complaints!$A$4:$AJ$39,31,)</f>
        <v>0</v>
      </c>
      <c r="P624" s="77">
        <f t="shared" si="161"/>
        <v>0</v>
      </c>
      <c r="Q624" s="50" t="str">
        <f>IF(P624=0,"",P624/$P598)</f>
        <v/>
      </c>
      <c r="R624" s="18"/>
    </row>
    <row r="625" spans="2:19" ht="15.75" customHeight="1" x14ac:dyDescent="0.2">
      <c r="B625" s="146"/>
      <c r="C625" s="38" t="s">
        <v>113</v>
      </c>
      <c r="D625" s="66">
        <f>VLOOKUP($B590,[1]Complaints!$A$4:$AJ$39,32,)</f>
        <v>0</v>
      </c>
      <c r="E625" s="67">
        <f>VLOOKUP($B590,[2]Complaints!$A$4:$AJ$39,32,)</f>
        <v>0</v>
      </c>
      <c r="F625" s="67">
        <f>VLOOKUP($B590,[3]Complaints!$A$4:$AJ$39,32,)</f>
        <v>0</v>
      </c>
      <c r="G625" s="67">
        <f>VLOOKUP($B590,[4]Complaints!$A$4:$AJ$39,32,)</f>
        <v>0</v>
      </c>
      <c r="H625" s="67">
        <f>VLOOKUP($B590,[5]Complaints!$A$4:$AJ$39,32,)</f>
        <v>0</v>
      </c>
      <c r="I625" s="67">
        <f>VLOOKUP($B590,[6]Complaints!$A$4:$AJ$39,32,)</f>
        <v>0</v>
      </c>
      <c r="J625" s="67">
        <f>VLOOKUP($B590,[7]Complaints!$A$4:$AJ$39,32,)</f>
        <v>0</v>
      </c>
      <c r="K625" s="67">
        <f>VLOOKUP($B590,[8]Complaints!$A$4:$AJ$39,32,)</f>
        <v>0</v>
      </c>
      <c r="L625" s="67">
        <f>VLOOKUP($B590,[9]Complaints!$A$4:$AJ$39,32,)</f>
        <v>0</v>
      </c>
      <c r="M625" s="67">
        <f>VLOOKUP($B590,[10]Complaints!$A$4:$AJ$39,32,)</f>
        <v>0</v>
      </c>
      <c r="N625" s="67">
        <f>VLOOKUP($B590,[11]Complaints!$A$4:$AJ$39,32,)</f>
        <v>0</v>
      </c>
      <c r="O625" s="68">
        <f>VLOOKUP($B590,[12]Complaints!$A$4:$AJ$39,32,)</f>
        <v>0</v>
      </c>
      <c r="P625" s="69">
        <f t="shared" si="161"/>
        <v>0</v>
      </c>
      <c r="Q625" s="70" t="str">
        <f>IF(P625=0,"",P625/$P598)</f>
        <v/>
      </c>
      <c r="R625" s="18"/>
    </row>
    <row r="626" spans="2:19" ht="15.75" customHeight="1" x14ac:dyDescent="0.2">
      <c r="B626" s="146"/>
      <c r="C626" s="38" t="s">
        <v>114</v>
      </c>
      <c r="D626" s="66">
        <f>VLOOKUP($B590,[1]Complaints!$A$4:$AJ$39,33,)</f>
        <v>0</v>
      </c>
      <c r="E626" s="67">
        <f>VLOOKUP($B590,[2]Complaints!$A$4:$AJ$39,33,)</f>
        <v>0</v>
      </c>
      <c r="F626" s="67">
        <f>VLOOKUP($B590,[3]Complaints!$A$4:$AJ$39,33,)</f>
        <v>0</v>
      </c>
      <c r="G626" s="67">
        <f>VLOOKUP($B590,[4]Complaints!$A$4:$AJ$39,33,)</f>
        <v>0</v>
      </c>
      <c r="H626" s="67">
        <f>VLOOKUP($B590,[5]Complaints!$A$4:$AJ$39,33,)</f>
        <v>0</v>
      </c>
      <c r="I626" s="67">
        <f>VLOOKUP($B590,[6]Complaints!$A$4:$AJ$39,33,)</f>
        <v>0</v>
      </c>
      <c r="J626" s="67">
        <f>VLOOKUP($B590,[7]Complaints!$A$4:$AJ$39,33,)</f>
        <v>0</v>
      </c>
      <c r="K626" s="67">
        <f>VLOOKUP($B590,[8]Complaints!$A$4:$AJ$39,33,)</f>
        <v>0</v>
      </c>
      <c r="L626" s="67">
        <f>VLOOKUP($B590,[9]Complaints!$A$4:$AJ$39,33,)</f>
        <v>0</v>
      </c>
      <c r="M626" s="67">
        <f>VLOOKUP($B590,[10]Complaints!$A$4:$AJ$39,33,)</f>
        <v>0</v>
      </c>
      <c r="N626" s="67">
        <f>VLOOKUP($B590,[11]Complaints!$A$4:$AJ$39,33,)</f>
        <v>0</v>
      </c>
      <c r="O626" s="68">
        <f>VLOOKUP($B590,[12]Complaints!$A$4:$AJ$39,33,)</f>
        <v>0</v>
      </c>
      <c r="P626" s="69">
        <f t="shared" si="161"/>
        <v>0</v>
      </c>
      <c r="Q626" s="70" t="str">
        <f>IF(P626=0,"",P626/$P598)</f>
        <v/>
      </c>
      <c r="R626" s="18"/>
    </row>
    <row r="627" spans="2:19" ht="15.75" customHeight="1" x14ac:dyDescent="0.2">
      <c r="B627" s="146"/>
      <c r="C627" s="38" t="s">
        <v>115</v>
      </c>
      <c r="D627" s="66">
        <f>VLOOKUP($B590,[1]Complaints!$A$4:$AJ$39,34,)</f>
        <v>0</v>
      </c>
      <c r="E627" s="67">
        <f>VLOOKUP($B590,[2]Complaints!$A$4:$AJ$39,34,)</f>
        <v>0</v>
      </c>
      <c r="F627" s="67">
        <f>VLOOKUP($B590,[3]Complaints!$A$4:$AJ$39,34,)</f>
        <v>0</v>
      </c>
      <c r="G627" s="67">
        <f>VLOOKUP($B590,[4]Complaints!$A$4:$AJ$39,34,)</f>
        <v>0</v>
      </c>
      <c r="H627" s="67">
        <f>VLOOKUP($B590,[5]Complaints!$A$4:$AJ$39,34,)</f>
        <v>0</v>
      </c>
      <c r="I627" s="67">
        <f>VLOOKUP($B590,[6]Complaints!$A$4:$AJ$39,34,)</f>
        <v>0</v>
      </c>
      <c r="J627" s="67">
        <f>VLOOKUP($B590,[7]Complaints!$A$4:$AJ$39,34,)</f>
        <v>0</v>
      </c>
      <c r="K627" s="67">
        <f>VLOOKUP($B590,[8]Complaints!$A$4:$AJ$39,34,)</f>
        <v>0</v>
      </c>
      <c r="L627" s="67">
        <f>VLOOKUP($B590,[9]Complaints!$A$4:$AJ$39,34,)</f>
        <v>0</v>
      </c>
      <c r="M627" s="67">
        <f>VLOOKUP($B590,[10]Complaints!$A$4:$AJ$39,34,)</f>
        <v>0</v>
      </c>
      <c r="N627" s="67">
        <f>VLOOKUP($B590,[11]Complaints!$A$4:$AJ$39,34,)</f>
        <v>0</v>
      </c>
      <c r="O627" s="68">
        <f>VLOOKUP($B590,[12]Complaints!$A$4:$AJ$39,34,)</f>
        <v>0</v>
      </c>
      <c r="P627" s="69">
        <f t="shared" si="161"/>
        <v>0</v>
      </c>
      <c r="Q627" s="70" t="str">
        <f>IF(P627=0,"",P627/$P598)</f>
        <v/>
      </c>
      <c r="R627" s="18"/>
    </row>
    <row r="628" spans="2:19" ht="15.75" customHeight="1" x14ac:dyDescent="0.2">
      <c r="B628" s="146"/>
      <c r="C628" s="38" t="s">
        <v>116</v>
      </c>
      <c r="D628" s="66">
        <f>VLOOKUP($B590,[1]Complaints!$A$4:$AJ$39,35,)</f>
        <v>0</v>
      </c>
      <c r="E628" s="67">
        <f>VLOOKUP($B590,[2]Complaints!$A$4:$AJ$39,35,)</f>
        <v>0</v>
      </c>
      <c r="F628" s="67">
        <f>VLOOKUP($B590,[3]Complaints!$A$4:$AJ$39,35,)</f>
        <v>0</v>
      </c>
      <c r="G628" s="67">
        <f>VLOOKUP($B590,[4]Complaints!$A$4:$AJ$39,35,)</f>
        <v>0</v>
      </c>
      <c r="H628" s="67">
        <f>VLOOKUP($B590,[5]Complaints!$A$4:$AJ$39,35,)</f>
        <v>0</v>
      </c>
      <c r="I628" s="67">
        <f>VLOOKUP($B590,[6]Complaints!$A$4:$AJ$39,35,)</f>
        <v>0</v>
      </c>
      <c r="J628" s="67">
        <f>VLOOKUP($B590,[7]Complaints!$A$4:$AJ$39,35,)</f>
        <v>0</v>
      </c>
      <c r="K628" s="67">
        <f>VLOOKUP($B590,[8]Complaints!$A$4:$AJ$39,35,)</f>
        <v>0</v>
      </c>
      <c r="L628" s="67">
        <f>VLOOKUP($B590,[9]Complaints!$A$4:$AJ$39,35,)</f>
        <v>0</v>
      </c>
      <c r="M628" s="67">
        <f>VLOOKUP($B590,[10]Complaints!$A$4:$AJ$39,35,)</f>
        <v>0</v>
      </c>
      <c r="N628" s="67">
        <f>VLOOKUP($B590,[11]Complaints!$A$4:$AJ$39,35,)</f>
        <v>0</v>
      </c>
      <c r="O628" s="68">
        <f>VLOOKUP($B590,[12]Complaints!$A$4:$AJ$39,35,)</f>
        <v>0</v>
      </c>
      <c r="P628" s="69">
        <f t="shared" si="161"/>
        <v>0</v>
      </c>
      <c r="Q628" s="70" t="str">
        <f>IF(P628=0,"",P628/$P598)</f>
        <v/>
      </c>
      <c r="R628" s="18"/>
    </row>
    <row r="629" spans="2:19" ht="15.75" customHeight="1" thickBot="1" x14ac:dyDescent="0.25">
      <c r="B629" s="147"/>
      <c r="C629" s="41" t="s">
        <v>117</v>
      </c>
      <c r="D629" s="78">
        <f>VLOOKUP($B590,[1]Complaints!$A$4:$AJ$39,36,)</f>
        <v>0</v>
      </c>
      <c r="E629" s="79">
        <f>VLOOKUP($B590,[2]Complaints!$A$4:$AJ$39,36,)</f>
        <v>0</v>
      </c>
      <c r="F629" s="79">
        <f>VLOOKUP($B590,[3]Complaints!$A$4:$AJ$39,36,)</f>
        <v>0</v>
      </c>
      <c r="G629" s="79">
        <f>VLOOKUP($B590,[4]Complaints!$A$4:$AJ$39,36,)</f>
        <v>0</v>
      </c>
      <c r="H629" s="79">
        <f>VLOOKUP($B590,[5]Complaints!$A$4:$AJ$39,36,)</f>
        <v>0</v>
      </c>
      <c r="I629" s="79">
        <f>VLOOKUP($B590,[6]Complaints!$A$4:$AJ$39,36,)</f>
        <v>0</v>
      </c>
      <c r="J629" s="79">
        <f>VLOOKUP($B590,[7]Complaints!$A$4:$AJ$39,36,)</f>
        <v>0</v>
      </c>
      <c r="K629" s="79">
        <f>VLOOKUP($B590,[8]Complaints!$A$4:$AJ$39,36,)</f>
        <v>0</v>
      </c>
      <c r="L629" s="79">
        <f>VLOOKUP($B590,[9]Complaints!$A$4:$AJ$39,36,)</f>
        <v>0</v>
      </c>
      <c r="M629" s="79">
        <f>VLOOKUP($B590,[10]Complaints!$A$4:$AJ$39,36,)</f>
        <v>0</v>
      </c>
      <c r="N629" s="79">
        <f>VLOOKUP($B590,[11]Complaints!$A$4:$AJ$39,36,)</f>
        <v>0</v>
      </c>
      <c r="O629" s="80">
        <f>VLOOKUP($B590,[12]Complaints!$A$4:$AJ$39,36,)</f>
        <v>0</v>
      </c>
      <c r="P629" s="81">
        <f t="shared" si="161"/>
        <v>0</v>
      </c>
      <c r="Q629" s="82" t="str">
        <f>IF(P629=0,"",P629/$P598)</f>
        <v/>
      </c>
      <c r="R629" s="18"/>
    </row>
    <row r="630" spans="2:19" ht="15.75" customHeight="1" thickBot="1" x14ac:dyDescent="0.25">
      <c r="R630" s="18"/>
      <c r="S630" s="19"/>
    </row>
    <row r="631" spans="2:19" ht="15.75" customHeight="1" x14ac:dyDescent="0.25">
      <c r="B631" s="158" t="s">
        <v>24</v>
      </c>
      <c r="C631" s="159"/>
      <c r="D631" s="32" t="s">
        <v>0</v>
      </c>
      <c r="E631" s="20" t="s">
        <v>1</v>
      </c>
      <c r="F631" s="20" t="s">
        <v>2</v>
      </c>
      <c r="G631" s="20" t="s">
        <v>3</v>
      </c>
      <c r="H631" s="20" t="s">
        <v>4</v>
      </c>
      <c r="I631" s="20" t="s">
        <v>5</v>
      </c>
      <c r="J631" s="20" t="s">
        <v>6</v>
      </c>
      <c r="K631" s="20" t="s">
        <v>7</v>
      </c>
      <c r="L631" s="20" t="s">
        <v>8</v>
      </c>
      <c r="M631" s="20" t="s">
        <v>9</v>
      </c>
      <c r="N631" s="20" t="s">
        <v>10</v>
      </c>
      <c r="O631" s="33" t="s">
        <v>11</v>
      </c>
      <c r="P631" s="35" t="s">
        <v>12</v>
      </c>
      <c r="Q631" s="160" t="s">
        <v>104</v>
      </c>
      <c r="R631" s="18"/>
    </row>
    <row r="632" spans="2:19" ht="15.75" customHeight="1" thickBot="1" x14ac:dyDescent="0.3">
      <c r="B632" s="162" t="s">
        <v>61</v>
      </c>
      <c r="C632" s="163"/>
      <c r="D632" s="34">
        <v>2020</v>
      </c>
      <c r="E632" s="34">
        <v>2020</v>
      </c>
      <c r="F632" s="34">
        <v>2020</v>
      </c>
      <c r="G632" s="34">
        <v>2020</v>
      </c>
      <c r="H632" s="34">
        <v>2020</v>
      </c>
      <c r="I632" s="34">
        <v>2020</v>
      </c>
      <c r="J632" s="34">
        <v>2020</v>
      </c>
      <c r="K632" s="34">
        <v>2020</v>
      </c>
      <c r="L632" s="34">
        <v>2020</v>
      </c>
      <c r="M632" s="25">
        <v>2021</v>
      </c>
      <c r="N632" s="25">
        <v>2021</v>
      </c>
      <c r="O632" s="25">
        <v>2021</v>
      </c>
      <c r="P632" s="36" t="s">
        <v>122</v>
      </c>
      <c r="Q632" s="161"/>
      <c r="R632" s="18"/>
    </row>
    <row r="633" spans="2:19" ht="12.75" customHeight="1" thickBot="1" x14ac:dyDescent="0.25">
      <c r="B633" s="164" t="s">
        <v>38</v>
      </c>
      <c r="C633" s="165"/>
      <c r="D633" s="42">
        <f>VLOOKUP($B632,[1]Complaints!$A$4:$AJ$39,2,)</f>
        <v>315</v>
      </c>
      <c r="E633" s="43">
        <f>VLOOKUP($B632,[2]Complaints!$A$4:$AJ$39,2,)</f>
        <v>416</v>
      </c>
      <c r="F633" s="43">
        <f>VLOOKUP($B632,[3]Complaints!$A$4:$AJ$39,2)</f>
        <v>784</v>
      </c>
      <c r="G633" s="43">
        <f>VLOOKUP($B632,[4]Complaints!$A$4:$AJ$39,2)</f>
        <v>1309</v>
      </c>
      <c r="H633" s="43">
        <f>VLOOKUP($B632,[5]Complaints!$A$4:$AJ$39,2)</f>
        <v>1581</v>
      </c>
      <c r="I633" s="43">
        <f>VLOOKUP($B632,[6]Complaints!$A$4:$AJ$39,2)</f>
        <v>1875</v>
      </c>
      <c r="J633" s="43">
        <f>VLOOKUP($B632,[7]Complaints!$A$4:$AJ$39,2)</f>
        <v>1821</v>
      </c>
      <c r="K633" s="43">
        <f>VLOOKUP($B632,[8]Complaints!$A$4:$AJ$39,2)</f>
        <v>1821</v>
      </c>
      <c r="L633" s="43">
        <f>VLOOKUP($B632,[9]Complaints!$A$4:$AJ$39,2)</f>
        <v>1509</v>
      </c>
      <c r="M633" s="43">
        <f>VLOOKUP($B632,[10]Complaints!$A$4:$AJ$39,2)</f>
        <v>1008</v>
      </c>
      <c r="N633" s="43">
        <f>VLOOKUP($B632,[11]Complaints!$A$4:$AJ$39,2)</f>
        <v>0</v>
      </c>
      <c r="O633" s="44">
        <f>VLOOKUP($B632,[12]Complaints!$A$4:$AJ$39,2)</f>
        <v>0</v>
      </c>
      <c r="P633" s="45">
        <f>SUM(D633:O633)</f>
        <v>12439</v>
      </c>
      <c r="Q633" s="46"/>
      <c r="R633" s="18"/>
    </row>
    <row r="634" spans="2:19" ht="15.75" customHeight="1" x14ac:dyDescent="0.2">
      <c r="B634" s="166" t="s">
        <v>94</v>
      </c>
      <c r="C634" s="167"/>
      <c r="D634" s="47">
        <f>VLOOKUP($B632,[1]Complaints!$A$4:$AF$39,3,)</f>
        <v>0</v>
      </c>
      <c r="E634" s="48">
        <f>VLOOKUP($B632,[2]Complaints!$A$4:$AF$39,3,)</f>
        <v>0</v>
      </c>
      <c r="F634" s="48">
        <f>VLOOKUP($B632,[3]Complaints!$A$4:$AG$39,3,)</f>
        <v>0</v>
      </c>
      <c r="G634" s="48">
        <f>VLOOKUP($B632,[4]Complaints!$A$4:$AG$39,3,)</f>
        <v>0</v>
      </c>
      <c r="H634" s="48">
        <f>VLOOKUP($B632,[5]Complaints!$A$4:$AG$39,3,)</f>
        <v>0</v>
      </c>
      <c r="I634" s="48">
        <f>VLOOKUP($B632,[6]Complaints!$A$4:$AG$39,3,)</f>
        <v>2</v>
      </c>
      <c r="J634" s="48">
        <f>VLOOKUP($B632,[7]Complaints!$A$4:$AG$39,3,)</f>
        <v>0</v>
      </c>
      <c r="K634" s="48">
        <f>VLOOKUP($B632,[8]Complaints!$A$4:$AG$39,3,)</f>
        <v>0</v>
      </c>
      <c r="L634" s="48">
        <f>VLOOKUP($B632,[9]Complaints!$A$4:$AG$39,3,)</f>
        <v>0</v>
      </c>
      <c r="M634" s="48">
        <f>VLOOKUP($B632,[10]Complaints!$A$4:$AG$39,3,)</f>
        <v>0</v>
      </c>
      <c r="N634" s="48">
        <f>VLOOKUP($B632,[11]Complaints!$A$4:$AG$39,3,)</f>
        <v>0</v>
      </c>
      <c r="O634" s="49">
        <f>VLOOKUP($B632,[12]Complaints!$A$4:$AG$39,3,)</f>
        <v>0</v>
      </c>
      <c r="P634" s="45">
        <f>SUM(D634:O634)</f>
        <v>2</v>
      </c>
      <c r="Q634" s="50"/>
      <c r="R634" s="18"/>
    </row>
    <row r="635" spans="2:19" ht="15.75" customHeight="1" x14ac:dyDescent="0.2">
      <c r="B635" s="26"/>
      <c r="C635" s="28" t="s">
        <v>102</v>
      </c>
      <c r="D635" s="51">
        <f>IF(D633=0,"",D634/D633)</f>
        <v>0</v>
      </c>
      <c r="E635" s="52">
        <f t="shared" ref="E635:O635" si="162">IF(E633=0,"",E634/E633)</f>
        <v>0</v>
      </c>
      <c r="F635" s="52">
        <f t="shared" si="162"/>
        <v>0</v>
      </c>
      <c r="G635" s="52">
        <f t="shared" si="162"/>
        <v>0</v>
      </c>
      <c r="H635" s="52">
        <f t="shared" si="162"/>
        <v>0</v>
      </c>
      <c r="I635" s="52">
        <f t="shared" si="162"/>
        <v>1.0666666666666667E-3</v>
      </c>
      <c r="J635" s="52">
        <f t="shared" si="162"/>
        <v>0</v>
      </c>
      <c r="K635" s="52">
        <f t="shared" si="162"/>
        <v>0</v>
      </c>
      <c r="L635" s="52">
        <f t="shared" si="162"/>
        <v>0</v>
      </c>
      <c r="M635" s="52">
        <f t="shared" si="162"/>
        <v>0</v>
      </c>
      <c r="N635" s="52" t="str">
        <f t="shared" si="162"/>
        <v/>
      </c>
      <c r="O635" s="53" t="str">
        <f t="shared" si="162"/>
        <v/>
      </c>
      <c r="P635" s="54">
        <f>IF(P634="","",P634/P633)</f>
        <v>1.6078462898946861E-4</v>
      </c>
      <c r="Q635" s="50"/>
      <c r="R635" s="18"/>
    </row>
    <row r="636" spans="2:19" s="21" customFormat="1" ht="15.75" customHeight="1" x14ac:dyDescent="0.2">
      <c r="B636" s="155" t="s">
        <v>95</v>
      </c>
      <c r="C636" s="156"/>
      <c r="D636" s="47">
        <f>VLOOKUP($B632,[1]Complaints!$A$4:$AF$39,4,)</f>
        <v>0</v>
      </c>
      <c r="E636" s="48">
        <f>VLOOKUP($B632,[2]Complaints!$A$4:$AF$39,4,)</f>
        <v>0</v>
      </c>
      <c r="F636" s="48">
        <f>VLOOKUP($B632,[3]Complaints!$A$4:$AG$39,4,)</f>
        <v>0</v>
      </c>
      <c r="G636" s="48">
        <f>VLOOKUP($B632,[4]Complaints!$A$4:$AG$39,4,)</f>
        <v>0</v>
      </c>
      <c r="H636" s="48">
        <f>VLOOKUP($B632,[5]Complaints!$A$4:$AG$39,4,)</f>
        <v>0</v>
      </c>
      <c r="I636" s="48">
        <f>VLOOKUP($B632,[6]Complaints!$A$4:$AG$39,4,)</f>
        <v>0</v>
      </c>
      <c r="J636" s="48">
        <f>VLOOKUP($B632,[7]Complaints!$A$4:$AG$39,4,)</f>
        <v>0</v>
      </c>
      <c r="K636" s="48">
        <f>VLOOKUP($B632,[8]Complaints!$A$4:$AG$39,4,)</f>
        <v>0</v>
      </c>
      <c r="L636" s="48">
        <f>VLOOKUP($B632,[9]Complaints!$A$4:$AG$39,4,)</f>
        <v>0</v>
      </c>
      <c r="M636" s="48">
        <f>VLOOKUP($B632,[10]Complaints!$A$4:$AG$39,4,)</f>
        <v>0</v>
      </c>
      <c r="N636" s="48">
        <f>VLOOKUP($B632,[11]Complaints!$A$4:$AG$39,4,)</f>
        <v>0</v>
      </c>
      <c r="O636" s="49">
        <f>VLOOKUP($B632,[12]Complaints!$A$4:$AG$39,4,)</f>
        <v>0</v>
      </c>
      <c r="P636" s="55">
        <f t="shared" ref="P636" si="163">SUM(D636:O636)</f>
        <v>0</v>
      </c>
      <c r="Q636" s="50"/>
    </row>
    <row r="637" spans="2:19" ht="15.75" customHeight="1" x14ac:dyDescent="0.2">
      <c r="B637" s="26"/>
      <c r="C637" s="28" t="s">
        <v>98</v>
      </c>
      <c r="D637" s="51">
        <f>IF(D633=0,"",D636/D633)</f>
        <v>0</v>
      </c>
      <c r="E637" s="52">
        <f t="shared" ref="E637:O637" si="164">IF(E633=0,"",E636/E633)</f>
        <v>0</v>
      </c>
      <c r="F637" s="52">
        <f t="shared" si="164"/>
        <v>0</v>
      </c>
      <c r="G637" s="52">
        <f t="shared" si="164"/>
        <v>0</v>
      </c>
      <c r="H637" s="52">
        <f t="shared" si="164"/>
        <v>0</v>
      </c>
      <c r="I637" s="52">
        <f t="shared" si="164"/>
        <v>0</v>
      </c>
      <c r="J637" s="52">
        <f t="shared" si="164"/>
        <v>0</v>
      </c>
      <c r="K637" s="52">
        <f t="shared" si="164"/>
        <v>0</v>
      </c>
      <c r="L637" s="52">
        <f t="shared" si="164"/>
        <v>0</v>
      </c>
      <c r="M637" s="52">
        <f t="shared" si="164"/>
        <v>0</v>
      </c>
      <c r="N637" s="52" t="str">
        <f t="shared" si="164"/>
        <v/>
      </c>
      <c r="O637" s="53" t="str">
        <f t="shared" si="164"/>
        <v/>
      </c>
      <c r="P637" s="54">
        <f>IF(P636="","",P636/P633)</f>
        <v>0</v>
      </c>
      <c r="Q637" s="50"/>
      <c r="R637" s="18"/>
    </row>
    <row r="638" spans="2:19" ht="15.75" customHeight="1" x14ac:dyDescent="0.2">
      <c r="B638" s="155" t="s">
        <v>96</v>
      </c>
      <c r="C638" s="156"/>
      <c r="D638" s="47">
        <f>VLOOKUP($B632,[1]Complaints!$A$4:$AF$39,5,)</f>
        <v>0</v>
      </c>
      <c r="E638" s="48">
        <f>VLOOKUP($B632,[2]Complaints!$A$4:$AF$39,5,)</f>
        <v>0</v>
      </c>
      <c r="F638" s="48">
        <f>VLOOKUP($B632,[3]Complaints!$A$4:$AG$39,5,)</f>
        <v>0</v>
      </c>
      <c r="G638" s="48">
        <f>VLOOKUP($B632,[4]Complaints!$A$4:$AG$39,5,)</f>
        <v>0</v>
      </c>
      <c r="H638" s="48">
        <f>VLOOKUP($B632,[5]Complaints!$A$4:$AG$39,5,)</f>
        <v>0</v>
      </c>
      <c r="I638" s="48">
        <f>VLOOKUP($B632,[6]Complaints!$A$4:$AG$39,5,)</f>
        <v>2</v>
      </c>
      <c r="J638" s="48">
        <f>VLOOKUP($B632,[7]Complaints!$A$4:$AG$39,5,)</f>
        <v>0</v>
      </c>
      <c r="K638" s="48">
        <f>VLOOKUP($B632,[8]Complaints!$A$4:$AG$39,5,)</f>
        <v>0</v>
      </c>
      <c r="L638" s="48">
        <f>VLOOKUP($B632,[9]Complaints!$A$4:$AG$39,5,)</f>
        <v>0</v>
      </c>
      <c r="M638" s="48">
        <f>VLOOKUP($B632,[10]Complaints!$A$4:$AG$39,5,)</f>
        <v>0</v>
      </c>
      <c r="N638" s="48">
        <f>VLOOKUP($B632,[11]Complaints!$A$4:$AG$39,5,)</f>
        <v>0</v>
      </c>
      <c r="O638" s="49">
        <f>VLOOKUP($B632,[12]Complaints!$A$4:$AG$39,5,)</f>
        <v>0</v>
      </c>
      <c r="P638" s="55">
        <f t="shared" ref="P638" si="165">SUM(D638:O638)</f>
        <v>2</v>
      </c>
      <c r="Q638" s="50"/>
      <c r="R638" s="18"/>
    </row>
    <row r="639" spans="2:19" ht="15.75" customHeight="1" x14ac:dyDescent="0.2">
      <c r="B639" s="26"/>
      <c r="C639" s="28" t="s">
        <v>99</v>
      </c>
      <c r="D639" s="51">
        <f>IF(D633=0,"",D638/D633)</f>
        <v>0</v>
      </c>
      <c r="E639" s="52">
        <f t="shared" ref="E639:O639" si="166">IF(E633=0,"",E638/E633)</f>
        <v>0</v>
      </c>
      <c r="F639" s="52">
        <f t="shared" si="166"/>
        <v>0</v>
      </c>
      <c r="G639" s="52">
        <f t="shared" si="166"/>
        <v>0</v>
      </c>
      <c r="H639" s="52">
        <f t="shared" si="166"/>
        <v>0</v>
      </c>
      <c r="I639" s="52">
        <f t="shared" si="166"/>
        <v>1.0666666666666667E-3</v>
      </c>
      <c r="J639" s="52">
        <f t="shared" si="166"/>
        <v>0</v>
      </c>
      <c r="K639" s="52">
        <f t="shared" si="166"/>
        <v>0</v>
      </c>
      <c r="L639" s="52">
        <f t="shared" si="166"/>
        <v>0</v>
      </c>
      <c r="M639" s="52">
        <f t="shared" si="166"/>
        <v>0</v>
      </c>
      <c r="N639" s="52" t="str">
        <f t="shared" si="166"/>
        <v/>
      </c>
      <c r="O639" s="53" t="str">
        <f t="shared" si="166"/>
        <v/>
      </c>
      <c r="P639" s="54">
        <f>IF(P638="","",P638/P633)</f>
        <v>1.6078462898946861E-4</v>
      </c>
      <c r="Q639" s="50"/>
      <c r="R639" s="18"/>
    </row>
    <row r="640" spans="2:19" ht="15.75" customHeight="1" x14ac:dyDescent="0.2">
      <c r="B640" s="157" t="s">
        <v>97</v>
      </c>
      <c r="C640" s="156"/>
      <c r="D640" s="47">
        <f>VLOOKUP($B632,[1]Complaints!$A$4:$AF$39,6,)</f>
        <v>0</v>
      </c>
      <c r="E640" s="48">
        <f>VLOOKUP($B632,[2]Complaints!$A$4:$AF$39,6,)</f>
        <v>0</v>
      </c>
      <c r="F640" s="48">
        <f>VLOOKUP($B632,[3]Complaints!$A$4:$AG$39,6,)</f>
        <v>0</v>
      </c>
      <c r="G640" s="48">
        <f>VLOOKUP($B632,[4]Complaints!$A$4:$AG$39,6,)</f>
        <v>0</v>
      </c>
      <c r="H640" s="48">
        <f>VLOOKUP($B632,[5]Complaints!$A$4:$AG$39,6,)</f>
        <v>0</v>
      </c>
      <c r="I640" s="48">
        <f>VLOOKUP($B632,[6]Complaints!$A$4:$AG$39,6,)</f>
        <v>1</v>
      </c>
      <c r="J640" s="48">
        <f>VLOOKUP($B632,[7]Complaints!$A$4:$AG$39,6,)</f>
        <v>0</v>
      </c>
      <c r="K640" s="48">
        <f>VLOOKUP($B632,[8]Complaints!$A$4:$AG$39,6,)</f>
        <v>0</v>
      </c>
      <c r="L640" s="48">
        <f>VLOOKUP($B632,[9]Complaints!$A$4:$AG$39,6,)</f>
        <v>0</v>
      </c>
      <c r="M640" s="48">
        <f>VLOOKUP($B632,[10]Complaints!$A$4:$AG$39,6,)</f>
        <v>0</v>
      </c>
      <c r="N640" s="48">
        <f>VLOOKUP($B632,[11]Complaints!$A$4:$AG$39,6,)</f>
        <v>0</v>
      </c>
      <c r="O640" s="49">
        <f>VLOOKUP($B632,[12]Complaints!$A$4:$AG$39,6,)</f>
        <v>0</v>
      </c>
      <c r="P640" s="55">
        <f t="shared" ref="P640" si="167">SUM(D640:O640)</f>
        <v>1</v>
      </c>
      <c r="Q640" s="50"/>
      <c r="R640" s="18"/>
    </row>
    <row r="641" spans="2:18" ht="15.75" customHeight="1" thickBot="1" x14ac:dyDescent="0.25">
      <c r="B641" s="27"/>
      <c r="C641" s="29" t="s">
        <v>100</v>
      </c>
      <c r="D641" s="56" t="str">
        <f>IF(D640=0,"",D640/D638)</f>
        <v/>
      </c>
      <c r="E641" s="57" t="str">
        <f t="shared" ref="E641:H641" si="168">IF(E640=0,"",E640/E638)</f>
        <v/>
      </c>
      <c r="F641" s="57" t="str">
        <f t="shared" si="168"/>
        <v/>
      </c>
      <c r="G641" s="57" t="str">
        <f t="shared" si="168"/>
        <v/>
      </c>
      <c r="H641" s="57" t="str">
        <f t="shared" si="168"/>
        <v/>
      </c>
      <c r="I641" s="57">
        <f>IF(I640=0,"",I640/I638)</f>
        <v>0.5</v>
      </c>
      <c r="J641" s="57" t="str">
        <f t="shared" ref="J641:O641" si="169">IF(J640=0,"",J640/J638)</f>
        <v/>
      </c>
      <c r="K641" s="57" t="str">
        <f t="shared" si="169"/>
        <v/>
      </c>
      <c r="L641" s="57" t="str">
        <f t="shared" si="169"/>
        <v/>
      </c>
      <c r="M641" s="57" t="str">
        <f t="shared" si="169"/>
        <v/>
      </c>
      <c r="N641" s="57" t="str">
        <f t="shared" si="169"/>
        <v/>
      </c>
      <c r="O641" s="58" t="str">
        <f t="shared" si="169"/>
        <v/>
      </c>
      <c r="P641" s="59">
        <f>IF(P640=0,"",P640/P638)</f>
        <v>0.5</v>
      </c>
      <c r="Q641" s="60"/>
      <c r="R641" s="18"/>
    </row>
    <row r="642" spans="2:18" ht="15.75" customHeight="1" x14ac:dyDescent="0.2">
      <c r="B642" s="168" t="s">
        <v>103</v>
      </c>
      <c r="C642" s="30" t="s">
        <v>77</v>
      </c>
      <c r="D642" s="61">
        <f>VLOOKUP($B632,[1]Complaints!$A$4:$AJ$39,7,)</f>
        <v>0</v>
      </c>
      <c r="E642" s="43">
        <f>VLOOKUP($B632,[2]Complaints!$A$4:$AJ$39,7,)</f>
        <v>0</v>
      </c>
      <c r="F642" s="43">
        <f>VLOOKUP($B632,[3]Complaints!$A$4:$AJ$39,7,)</f>
        <v>0</v>
      </c>
      <c r="G642" s="43">
        <f>VLOOKUP($B632,[4]Complaints!$A$4:$AJ$39,7,)</f>
        <v>0</v>
      </c>
      <c r="H642" s="43">
        <f>VLOOKUP($B632,[5]Complaints!$A$4:$AJ$39,7,)</f>
        <v>0</v>
      </c>
      <c r="I642" s="43">
        <f>VLOOKUP($B632,[6]Complaints!$A$4:$AJ$39,7,)</f>
        <v>0</v>
      </c>
      <c r="J642" s="43">
        <f>VLOOKUP($B632,[7]Complaints!$A$4:$AJ$39,7,)</f>
        <v>0</v>
      </c>
      <c r="K642" s="43">
        <f>VLOOKUP($B632,[8]Complaints!$A$4:$AJ$39,7,)</f>
        <v>0</v>
      </c>
      <c r="L642" s="43">
        <f>VLOOKUP($B632,[9]Complaints!$A$4:$AJ$39,7,)</f>
        <v>0</v>
      </c>
      <c r="M642" s="43">
        <f>VLOOKUP($B632,[10]Complaints!$A$4:$AJ$39,7,)</f>
        <v>0</v>
      </c>
      <c r="N642" s="43">
        <f>VLOOKUP($B632,[11]Complaints!$A$4:$AJ$39,7,)</f>
        <v>0</v>
      </c>
      <c r="O642" s="44">
        <f>VLOOKUP($B632,[12]Complaints!$A$4:$AJ$39,7,)</f>
        <v>0</v>
      </c>
      <c r="P642" s="45">
        <f>SUM(D642:O642)</f>
        <v>0</v>
      </c>
      <c r="Q642" s="46" t="str">
        <f>IF(P642=0,"",P642/$P634)</f>
        <v/>
      </c>
      <c r="R642" s="18"/>
    </row>
    <row r="643" spans="2:18" ht="15.75" customHeight="1" x14ac:dyDescent="0.2">
      <c r="B643" s="169"/>
      <c r="C643" s="31" t="s">
        <v>89</v>
      </c>
      <c r="D643" s="47">
        <f>VLOOKUP($B632,[1]Complaints!$A$4:$AJ$39,8,)</f>
        <v>0</v>
      </c>
      <c r="E643" s="48">
        <f>VLOOKUP($B632,[2]Complaints!$A$4:$AJ$39,8,)</f>
        <v>0</v>
      </c>
      <c r="F643" s="48">
        <f>VLOOKUP($B632,[3]Complaints!$A$4:$AJ$39,8,)</f>
        <v>0</v>
      </c>
      <c r="G643" s="48">
        <f>VLOOKUP($B632,[4]Complaints!$A$4:$AJ$39,8,)</f>
        <v>0</v>
      </c>
      <c r="H643" s="48">
        <f>VLOOKUP($B632,[5]Complaints!$A$4:$AJ$39,8,)</f>
        <v>0</v>
      </c>
      <c r="I643" s="48">
        <f>VLOOKUP($B632,[6]Complaints!$A$4:$AJ$39,8,)</f>
        <v>2</v>
      </c>
      <c r="J643" s="48">
        <f>VLOOKUP($B632,[7]Complaints!$A$4:$AJ$39,8,)</f>
        <v>0</v>
      </c>
      <c r="K643" s="48">
        <f>VLOOKUP($B632,[8]Complaints!$A$4:$AJ$39,8,)</f>
        <v>0</v>
      </c>
      <c r="L643" s="48">
        <f>VLOOKUP($B632,[9]Complaints!$A$4:$AJ$39,8,)</f>
        <v>0</v>
      </c>
      <c r="M643" s="48">
        <f>VLOOKUP($B632,[10]Complaints!$A$4:$AJ$39,8,)</f>
        <v>0</v>
      </c>
      <c r="N643" s="48">
        <f>VLOOKUP($B632,[11]Complaints!$A$4:$AJ$39,8,)</f>
        <v>0</v>
      </c>
      <c r="O643" s="49">
        <f>VLOOKUP($B632,[12]Complaints!$A$4:$AJ$39,8,)</f>
        <v>0</v>
      </c>
      <c r="P643" s="55">
        <f t="shared" ref="P643:P644" si="170">SUM(D643:O643)</f>
        <v>2</v>
      </c>
      <c r="Q643" s="50">
        <f>IF(P643="","",P643/$P634)</f>
        <v>1</v>
      </c>
      <c r="R643" s="18"/>
    </row>
    <row r="644" spans="2:18" ht="15.75" customHeight="1" x14ac:dyDescent="0.2">
      <c r="B644" s="169"/>
      <c r="C644" s="31" t="s">
        <v>88</v>
      </c>
      <c r="D644" s="47">
        <f>VLOOKUP($B632,[1]Complaints!$A$4:$AJ$39,9,)</f>
        <v>0</v>
      </c>
      <c r="E644" s="48">
        <f>VLOOKUP($B632,[2]Complaints!$A$4:$AJ$39,9,)</f>
        <v>0</v>
      </c>
      <c r="F644" s="48">
        <f>VLOOKUP($B632,[3]Complaints!$A$4:$AJ$39,9,)</f>
        <v>0</v>
      </c>
      <c r="G644" s="48">
        <f>VLOOKUP($B632,[4]Complaints!$A$4:$AJ$39,9,)</f>
        <v>0</v>
      </c>
      <c r="H644" s="48">
        <f>VLOOKUP($B632,[5]Complaints!$A$4:$AJ$39,9,)</f>
        <v>0</v>
      </c>
      <c r="I644" s="48">
        <f>VLOOKUP($B632,[6]Complaints!$A$4:$AJ$39,9,)</f>
        <v>0</v>
      </c>
      <c r="J644" s="48">
        <f>VLOOKUP($B632,[7]Complaints!$A$4:$AJ$39,9,)</f>
        <v>0</v>
      </c>
      <c r="K644" s="48">
        <f>VLOOKUP($B632,[8]Complaints!$A$4:$AJ$39,9,)</f>
        <v>0</v>
      </c>
      <c r="L644" s="48">
        <f>VLOOKUP($B632,[9]Complaints!$A$4:$AJ$39,9,)</f>
        <v>0</v>
      </c>
      <c r="M644" s="48">
        <f>VLOOKUP($B632,[10]Complaints!$A$4:$AJ$39,9,)</f>
        <v>0</v>
      </c>
      <c r="N644" s="48">
        <f>VLOOKUP($B632,[11]Complaints!$A$4:$AJ$39,9,)</f>
        <v>0</v>
      </c>
      <c r="O644" s="49">
        <f>VLOOKUP($B632,[12]Complaints!$A$4:$AJ$39,9,)</f>
        <v>0</v>
      </c>
      <c r="P644" s="55">
        <f t="shared" si="170"/>
        <v>0</v>
      </c>
      <c r="Q644" s="50" t="str">
        <f>IF(P644=0,"",P644/$P634)</f>
        <v/>
      </c>
      <c r="R644" s="18"/>
    </row>
    <row r="645" spans="2:18" ht="15.75" customHeight="1" x14ac:dyDescent="0.2">
      <c r="B645" s="169"/>
      <c r="C645" s="31" t="s">
        <v>13</v>
      </c>
      <c r="D645" s="47">
        <f>VLOOKUP($B632,[1]Complaints!$A$4:$AJ$39,10,)</f>
        <v>0</v>
      </c>
      <c r="E645" s="48">
        <f>VLOOKUP($B632,[2]Complaints!$A$4:$AJ$39,10,)</f>
        <v>0</v>
      </c>
      <c r="F645" s="48">
        <f>VLOOKUP($B632,[3]Complaints!$A$4:$AJ$39,10,)</f>
        <v>0</v>
      </c>
      <c r="G645" s="48">
        <f>VLOOKUP($B632,[4]Complaints!$A$4:$AJ$39,10,)</f>
        <v>0</v>
      </c>
      <c r="H645" s="48">
        <f>VLOOKUP($B632,[5]Complaints!$A$4:$AJ$39,10,)</f>
        <v>0</v>
      </c>
      <c r="I645" s="48">
        <f>VLOOKUP($B632,[6]Complaints!$A$4:$AJ$39,10,)</f>
        <v>0</v>
      </c>
      <c r="J645" s="48">
        <f>VLOOKUP($B632,[7]Complaints!$A$4:$AJ$39,10,)</f>
        <v>0</v>
      </c>
      <c r="K645" s="48">
        <f>VLOOKUP($B632,[8]Complaints!$A$4:$AJ$39,10,)</f>
        <v>0</v>
      </c>
      <c r="L645" s="48">
        <f>VLOOKUP($B632,[9]Complaints!$A$4:$AJ$39,10,)</f>
        <v>0</v>
      </c>
      <c r="M645" s="48">
        <f>VLOOKUP($B632,[10]Complaints!$A$4:$AJ$39,10,)</f>
        <v>0</v>
      </c>
      <c r="N645" s="48">
        <f>VLOOKUP($B632,[11]Complaints!$A$4:$AJ$39,10,)</f>
        <v>0</v>
      </c>
      <c r="O645" s="49">
        <f>VLOOKUP($B632,[12]Complaints!$A$4:$AJ$39,10,)</f>
        <v>0</v>
      </c>
      <c r="P645" s="55">
        <f>SUM(D645:O645)</f>
        <v>0</v>
      </c>
      <c r="Q645" s="50" t="str">
        <f>IF(P645=0,"",P645/$P634)</f>
        <v/>
      </c>
      <c r="R645" s="18"/>
    </row>
    <row r="646" spans="2:18" ht="15.75" customHeight="1" x14ac:dyDescent="0.2">
      <c r="B646" s="169"/>
      <c r="C646" s="31" t="s">
        <v>101</v>
      </c>
      <c r="D646" s="47">
        <f>VLOOKUP($B632,[1]Complaints!$A$4:$AJ$39,11,)</f>
        <v>0</v>
      </c>
      <c r="E646" s="48">
        <f>VLOOKUP($B632,[2]Complaints!$A$4:$AJ$39,11,)</f>
        <v>0</v>
      </c>
      <c r="F646" s="48">
        <f>VLOOKUP($B632,[3]Complaints!$A$4:$AJ$39,11,)</f>
        <v>0</v>
      </c>
      <c r="G646" s="48">
        <f>VLOOKUP($B632,[4]Complaints!$A$4:$AJ$39,11,)</f>
        <v>0</v>
      </c>
      <c r="H646" s="48">
        <f>VLOOKUP($B632,[5]Complaints!$A$4:$AJ$39,11,)</f>
        <v>0</v>
      </c>
      <c r="I646" s="48">
        <f>VLOOKUP($B632,[6]Complaints!$A$4:$AJ$39,11,)</f>
        <v>0</v>
      </c>
      <c r="J646" s="48">
        <f>VLOOKUP($B632,[7]Complaints!$A$4:$AJ$39,11,)</f>
        <v>0</v>
      </c>
      <c r="K646" s="48">
        <f>VLOOKUP($B632,[8]Complaints!$A$4:$AJ$39,11,)</f>
        <v>0</v>
      </c>
      <c r="L646" s="48">
        <f>VLOOKUP($B632,[9]Complaints!$A$4:$AJ$39,11,)</f>
        <v>0</v>
      </c>
      <c r="M646" s="48">
        <f>VLOOKUP($B632,[10]Complaints!$A$4:$AJ$39,11,)</f>
        <v>0</v>
      </c>
      <c r="N646" s="48">
        <f>VLOOKUP($B632,[11]Complaints!$A$4:$AJ$39,11,)</f>
        <v>0</v>
      </c>
      <c r="O646" s="49">
        <f>VLOOKUP($B632,[12]Complaints!$A$4:$AJ$39,11,)</f>
        <v>0</v>
      </c>
      <c r="P646" s="55">
        <f t="shared" ref="P646:P655" si="171">SUM(D646:O646)</f>
        <v>0</v>
      </c>
      <c r="Q646" s="50" t="str">
        <f>IF(P646=0,"",P646/$P634)</f>
        <v/>
      </c>
      <c r="R646" s="18"/>
    </row>
    <row r="647" spans="2:18" s="19" customFormat="1" ht="15.75" customHeight="1" x14ac:dyDescent="0.2">
      <c r="B647" s="169"/>
      <c r="C647" s="31" t="s">
        <v>93</v>
      </c>
      <c r="D647" s="47">
        <f>VLOOKUP($B632,[1]Complaints!$A$4:$AJ$39,12,)</f>
        <v>0</v>
      </c>
      <c r="E647" s="48">
        <f>VLOOKUP($B632,[2]Complaints!$A$4:$AJ$39,12,)</f>
        <v>0</v>
      </c>
      <c r="F647" s="48">
        <f>VLOOKUP($B632,[3]Complaints!$A$4:$AJ$39,12,)</f>
        <v>0</v>
      </c>
      <c r="G647" s="48">
        <f>VLOOKUP($B632,[4]Complaints!$A$4:$AJ$39,12,)</f>
        <v>0</v>
      </c>
      <c r="H647" s="48">
        <f>VLOOKUP($B632,[5]Complaints!$A$4:$AJ$39,12,)</f>
        <v>0</v>
      </c>
      <c r="I647" s="48">
        <f>VLOOKUP($B632,[6]Complaints!$A$4:$AJ$39,12,)</f>
        <v>0</v>
      </c>
      <c r="J647" s="48">
        <f>VLOOKUP($B632,[7]Complaints!$A$4:$AJ$39,12,)</f>
        <v>0</v>
      </c>
      <c r="K647" s="48">
        <f>VLOOKUP($B632,[8]Complaints!$A$4:$AJ$39,12,)</f>
        <v>0</v>
      </c>
      <c r="L647" s="48">
        <f>VLOOKUP($B632,[9]Complaints!$A$4:$AJ$39,12,)</f>
        <v>0</v>
      </c>
      <c r="M647" s="48">
        <f>VLOOKUP($B632,[10]Complaints!$A$4:$AJ$39,12,)</f>
        <v>0</v>
      </c>
      <c r="N647" s="48">
        <f>VLOOKUP($B632,[11]Complaints!$A$4:$AJ$39,12,)</f>
        <v>0</v>
      </c>
      <c r="O647" s="49">
        <f>VLOOKUP($B632,[12]Complaints!$A$4:$AJ$39,12,)</f>
        <v>0</v>
      </c>
      <c r="P647" s="55">
        <f t="shared" si="171"/>
        <v>0</v>
      </c>
      <c r="Q647" s="50" t="str">
        <f>IF(P647=0,"",P647/$P634)</f>
        <v/>
      </c>
    </row>
    <row r="648" spans="2:18" ht="15.75" customHeight="1" x14ac:dyDescent="0.2">
      <c r="B648" s="169"/>
      <c r="C648" s="31" t="s">
        <v>78</v>
      </c>
      <c r="D648" s="47">
        <f>VLOOKUP($B632,[1]Complaints!$A$4:$AJ$39,13,)</f>
        <v>0</v>
      </c>
      <c r="E648" s="48">
        <f>VLOOKUP($B632,[2]Complaints!$A$4:$AJ$39,13,)</f>
        <v>0</v>
      </c>
      <c r="F648" s="48">
        <f>VLOOKUP($B632,[3]Complaints!$A$4:$AJ$39,13,)</f>
        <v>0</v>
      </c>
      <c r="G648" s="48">
        <f>VLOOKUP($B632,[4]Complaints!$A$4:$AJ$39,13,)</f>
        <v>0</v>
      </c>
      <c r="H648" s="48">
        <f>VLOOKUP($B632,[5]Complaints!$A$4:$AJ$39,13,)</f>
        <v>0</v>
      </c>
      <c r="I648" s="48">
        <f>VLOOKUP($B632,[6]Complaints!$A$4:$AJ$39,13,)</f>
        <v>0</v>
      </c>
      <c r="J648" s="48">
        <f>VLOOKUP($B632,[7]Complaints!$A$4:$AJ$39,13,)</f>
        <v>0</v>
      </c>
      <c r="K648" s="48">
        <f>VLOOKUP($B632,[8]Complaints!$A$4:$AJ$39,13,)</f>
        <v>0</v>
      </c>
      <c r="L648" s="48">
        <f>VLOOKUP($B632,[9]Complaints!$A$4:$AJ$39,13,)</f>
        <v>0</v>
      </c>
      <c r="M648" s="48">
        <f>VLOOKUP($B632,[10]Complaints!$A$4:$AJ$39,13,)</f>
        <v>0</v>
      </c>
      <c r="N648" s="48">
        <f>VLOOKUP($B632,[11]Complaints!$A$4:$AJ$39,13,)</f>
        <v>0</v>
      </c>
      <c r="O648" s="49">
        <f>VLOOKUP($B632,[12]Complaints!$A$4:$AJ$39,13,)</f>
        <v>0</v>
      </c>
      <c r="P648" s="55">
        <f t="shared" si="171"/>
        <v>0</v>
      </c>
      <c r="Q648" s="50" t="str">
        <f>IF(P648=0,"",P648/$P634)</f>
        <v/>
      </c>
      <c r="R648" s="18"/>
    </row>
    <row r="649" spans="2:18" ht="15.75" customHeight="1" x14ac:dyDescent="0.2">
      <c r="B649" s="169"/>
      <c r="C649" s="31" t="s">
        <v>92</v>
      </c>
      <c r="D649" s="47">
        <f>VLOOKUP($B632,[1]Complaints!$A$4:$AJ$39,14,)</f>
        <v>0</v>
      </c>
      <c r="E649" s="48">
        <f>VLOOKUP($B632,[2]Complaints!$A$4:$AJ$39,14,)</f>
        <v>0</v>
      </c>
      <c r="F649" s="48">
        <f>VLOOKUP($B632,[3]Complaints!$A$4:$AJ$39,14,)</f>
        <v>0</v>
      </c>
      <c r="G649" s="48">
        <f>VLOOKUP($B632,[4]Complaints!$A$4:$AJ$39,14,)</f>
        <v>0</v>
      </c>
      <c r="H649" s="48">
        <f>VLOOKUP($B632,[5]Complaints!$A$4:$AJ$39,14,)</f>
        <v>0</v>
      </c>
      <c r="I649" s="48">
        <f>VLOOKUP($B632,[6]Complaints!$A$4:$AJ$39,14,)</f>
        <v>0</v>
      </c>
      <c r="J649" s="48">
        <f>VLOOKUP($B632,[7]Complaints!$A$4:$AJ$39,14,)</f>
        <v>0</v>
      </c>
      <c r="K649" s="48">
        <f>VLOOKUP($B632,[8]Complaints!$A$4:$AJ$39,14,)</f>
        <v>0</v>
      </c>
      <c r="L649" s="48">
        <f>VLOOKUP($B632,[9]Complaints!$A$4:$AJ$39,14,)</f>
        <v>0</v>
      </c>
      <c r="M649" s="48">
        <f>VLOOKUP($B632,[10]Complaints!$A$4:$AJ$39,14,)</f>
        <v>0</v>
      </c>
      <c r="N649" s="48">
        <f>VLOOKUP($B632,[11]Complaints!$A$4:$AJ$39,14,)</f>
        <v>0</v>
      </c>
      <c r="O649" s="49">
        <f>VLOOKUP($B632,[12]Complaints!$A$4:$AJ$39,14,)</f>
        <v>0</v>
      </c>
      <c r="P649" s="55">
        <f t="shared" si="171"/>
        <v>0</v>
      </c>
      <c r="Q649" s="50" t="str">
        <f>IF(P649=0,"",P649/$P634)</f>
        <v/>
      </c>
      <c r="R649" s="18"/>
    </row>
    <row r="650" spans="2:18" ht="15.75" customHeight="1" x14ac:dyDescent="0.2">
      <c r="B650" s="169"/>
      <c r="C650" s="31" t="s">
        <v>91</v>
      </c>
      <c r="D650" s="47">
        <f>VLOOKUP($B632,[1]Complaints!$A$4:$AJ$39,15,)</f>
        <v>0</v>
      </c>
      <c r="E650" s="48">
        <f>VLOOKUP($B632,[2]Complaints!$A$4:$AJ$39,15,)</f>
        <v>0</v>
      </c>
      <c r="F650" s="48">
        <f>VLOOKUP($B632,[3]Complaints!$A$4:$AJ$39,15,)</f>
        <v>0</v>
      </c>
      <c r="G650" s="48">
        <f>VLOOKUP($B632,[4]Complaints!$A$4:$AJ$39,15,)</f>
        <v>0</v>
      </c>
      <c r="H650" s="48">
        <f>VLOOKUP($B632,[5]Complaints!$A$4:$AJ$39,15,)</f>
        <v>0</v>
      </c>
      <c r="I650" s="48">
        <f>VLOOKUP($B632,[6]Complaints!$A$4:$AJ$39,15,)</f>
        <v>0</v>
      </c>
      <c r="J650" s="48">
        <f>VLOOKUP($B632,[7]Complaints!$A$4:$AJ$39,15,)</f>
        <v>0</v>
      </c>
      <c r="K650" s="48">
        <f>VLOOKUP($B632,[8]Complaints!$A$4:$AJ$39,15,)</f>
        <v>0</v>
      </c>
      <c r="L650" s="48">
        <f>VLOOKUP($B632,[9]Complaints!$A$4:$AJ$39,15,)</f>
        <v>0</v>
      </c>
      <c r="M650" s="48">
        <f>VLOOKUP($B632,[10]Complaints!$A$4:$AJ$39,15,)</f>
        <v>0</v>
      </c>
      <c r="N650" s="48">
        <f>VLOOKUP($B632,[11]Complaints!$A$4:$AJ$39,15,)</f>
        <v>0</v>
      </c>
      <c r="O650" s="49">
        <f>VLOOKUP($B632,[12]Complaints!$A$4:$AJ$39,15,)</f>
        <v>0</v>
      </c>
      <c r="P650" s="55">
        <f t="shared" si="171"/>
        <v>0</v>
      </c>
      <c r="Q650" s="50" t="str">
        <f>IF(P650=0,"",P650/$P634)</f>
        <v/>
      </c>
      <c r="R650" s="18"/>
    </row>
    <row r="651" spans="2:18" ht="15.75" customHeight="1" x14ac:dyDescent="0.2">
      <c r="B651" s="169"/>
      <c r="C651" s="31" t="s">
        <v>79</v>
      </c>
      <c r="D651" s="47">
        <f>VLOOKUP($B632,[1]Complaints!$A$4:$AJ$39,16,)</f>
        <v>0</v>
      </c>
      <c r="E651" s="48">
        <f>VLOOKUP($B632,[2]Complaints!$A$4:$AJ$39,16,)</f>
        <v>0</v>
      </c>
      <c r="F651" s="48">
        <f>VLOOKUP($B632,[3]Complaints!$A$4:$AJ$39,16,)</f>
        <v>0</v>
      </c>
      <c r="G651" s="48">
        <f>VLOOKUP($B632,[4]Complaints!$A$4:$AJ$39,16,)</f>
        <v>0</v>
      </c>
      <c r="H651" s="48">
        <f>VLOOKUP($B632,[5]Complaints!$A$4:$AJ$39,16,)</f>
        <v>0</v>
      </c>
      <c r="I651" s="48">
        <f>VLOOKUP($B632,[6]Complaints!$A$4:$AJ$39,16,)</f>
        <v>0</v>
      </c>
      <c r="J651" s="48">
        <f>VLOOKUP($B632,[7]Complaints!$A$4:$AJ$39,16,)</f>
        <v>0</v>
      </c>
      <c r="K651" s="48">
        <f>VLOOKUP($B632,[8]Complaints!$A$4:$AJ$39,16,)</f>
        <v>0</v>
      </c>
      <c r="L651" s="48">
        <f>VLOOKUP($B632,[9]Complaints!$A$4:$AJ$39,16,)</f>
        <v>0</v>
      </c>
      <c r="M651" s="48">
        <f>VLOOKUP($B632,[10]Complaints!$A$4:$AJ$39,16,)</f>
        <v>0</v>
      </c>
      <c r="N651" s="48">
        <f>VLOOKUP($B632,[11]Complaints!$A$4:$AJ$39,16,)</f>
        <v>0</v>
      </c>
      <c r="O651" s="49">
        <f>VLOOKUP($B632,[12]Complaints!$A$4:$AJ$39,16,)</f>
        <v>0</v>
      </c>
      <c r="P651" s="55">
        <f t="shared" si="171"/>
        <v>0</v>
      </c>
      <c r="Q651" s="50" t="str">
        <f>IF(P651=0,"",P651/$P634)</f>
        <v/>
      </c>
      <c r="R651" s="18"/>
    </row>
    <row r="652" spans="2:18" ht="15.75" customHeight="1" x14ac:dyDescent="0.2">
      <c r="B652" s="169"/>
      <c r="C652" s="31" t="s">
        <v>80</v>
      </c>
      <c r="D652" s="47">
        <f>VLOOKUP($B632,[1]Complaints!$A$4:$AJ$39,17,)</f>
        <v>0</v>
      </c>
      <c r="E652" s="48">
        <f>VLOOKUP($B632,[2]Complaints!$A$4:$AJ$39,17,)</f>
        <v>0</v>
      </c>
      <c r="F652" s="48">
        <f>VLOOKUP($B632,[3]Complaints!$A$4:$AJ$39,17,)</f>
        <v>0</v>
      </c>
      <c r="G652" s="48">
        <f>VLOOKUP($B632,[4]Complaints!$A$4:$AJ$39,17,)</f>
        <v>0</v>
      </c>
      <c r="H652" s="48">
        <f>VLOOKUP($B632,[5]Complaints!$A$4:$AJ$39,17,)</f>
        <v>0</v>
      </c>
      <c r="I652" s="48">
        <f>VLOOKUP($B632,[6]Complaints!$A$4:$AJ$39,17,)</f>
        <v>0</v>
      </c>
      <c r="J652" s="48">
        <f>VLOOKUP($B632,[7]Complaints!$A$4:$AJ$39,17,)</f>
        <v>0</v>
      </c>
      <c r="K652" s="48">
        <f>VLOOKUP($B632,[8]Complaints!$A$4:$AJ$39,17,)</f>
        <v>0</v>
      </c>
      <c r="L652" s="48">
        <f>VLOOKUP($B632,[9]Complaints!$A$4:$AJ$39,17,)</f>
        <v>0</v>
      </c>
      <c r="M652" s="48">
        <f>VLOOKUP($B632,[10]Complaints!$A$4:$AJ$39,17,)</f>
        <v>0</v>
      </c>
      <c r="N652" s="48">
        <f>VLOOKUP($B632,[11]Complaints!$A$4:$AJ$39,17,)</f>
        <v>0</v>
      </c>
      <c r="O652" s="49">
        <f>VLOOKUP($B632,[12]Complaints!$A$4:$AJ$39,17,)</f>
        <v>0</v>
      </c>
      <c r="P652" s="55">
        <f t="shared" si="171"/>
        <v>0</v>
      </c>
      <c r="Q652" s="50" t="str">
        <f>IF(P652=0,"",P652/$P634)</f>
        <v/>
      </c>
      <c r="R652" s="18"/>
    </row>
    <row r="653" spans="2:18" ht="15.75" customHeight="1" x14ac:dyDescent="0.2">
      <c r="B653" s="169"/>
      <c r="C653" s="31" t="s">
        <v>81</v>
      </c>
      <c r="D653" s="47">
        <f>VLOOKUP($B632,[1]Complaints!$A$4:$AJ$39,18,)</f>
        <v>0</v>
      </c>
      <c r="E653" s="48">
        <f>VLOOKUP($B632,[2]Complaints!$A$4:$AJ$39,18,)</f>
        <v>0</v>
      </c>
      <c r="F653" s="48">
        <f>VLOOKUP($B632,[3]Complaints!$A$4:$AJ$39,18,)</f>
        <v>0</v>
      </c>
      <c r="G653" s="48">
        <f>VLOOKUP($B632,[4]Complaints!$A$4:$AJ$39,18,)</f>
        <v>0</v>
      </c>
      <c r="H653" s="48">
        <f>VLOOKUP($B632,[5]Complaints!$A$4:$AJ$39,18,)</f>
        <v>0</v>
      </c>
      <c r="I653" s="48">
        <f>VLOOKUP($B632,[6]Complaints!$A$4:$AJ$39,18,)</f>
        <v>0</v>
      </c>
      <c r="J653" s="48">
        <f>VLOOKUP($B632,[7]Complaints!$A$4:$AJ$39,18,)</f>
        <v>0</v>
      </c>
      <c r="K653" s="48">
        <f>VLOOKUP($B632,[8]Complaints!$A$4:$AJ$39,18,)</f>
        <v>0</v>
      </c>
      <c r="L653" s="48">
        <f>VLOOKUP($B632,[9]Complaints!$A$4:$AJ$39,18,)</f>
        <v>0</v>
      </c>
      <c r="M653" s="48">
        <f>VLOOKUP($B632,[10]Complaints!$A$4:$AJ$39,18,)</f>
        <v>0</v>
      </c>
      <c r="N653" s="48">
        <f>VLOOKUP($B632,[11]Complaints!$A$4:$AJ$39,18,)</f>
        <v>0</v>
      </c>
      <c r="O653" s="49">
        <f>VLOOKUP($B632,[12]Complaints!$A$4:$AJ$39,18,)</f>
        <v>0</v>
      </c>
      <c r="P653" s="55">
        <f t="shared" si="171"/>
        <v>0</v>
      </c>
      <c r="Q653" s="50" t="str">
        <f>IF(P653=0,"",P653/$P634)</f>
        <v/>
      </c>
      <c r="R653" s="18"/>
    </row>
    <row r="654" spans="2:18" ht="15.75" customHeight="1" x14ac:dyDescent="0.2">
      <c r="B654" s="169"/>
      <c r="C654" s="31" t="s">
        <v>82</v>
      </c>
      <c r="D654" s="47">
        <f>VLOOKUP($B632,[1]Complaints!$A$4:$AJ$39,19,)</f>
        <v>0</v>
      </c>
      <c r="E654" s="48">
        <f>VLOOKUP($B632,[2]Complaints!$A$4:$AJ$39,19,)</f>
        <v>0</v>
      </c>
      <c r="F654" s="48">
        <f>VLOOKUP($B632,[3]Complaints!$A$4:$AJ$39,19,)</f>
        <v>0</v>
      </c>
      <c r="G654" s="48">
        <f>VLOOKUP($B632,[4]Complaints!$A$4:$AJ$39,19,)</f>
        <v>0</v>
      </c>
      <c r="H654" s="48">
        <f>VLOOKUP($B632,[5]Complaints!$A$4:$AJ$39,19,)</f>
        <v>0</v>
      </c>
      <c r="I654" s="48">
        <f>VLOOKUP($B632,[6]Complaints!$A$4:$AJ$39,19,)</f>
        <v>0</v>
      </c>
      <c r="J654" s="48">
        <f>VLOOKUP($B632,[7]Complaints!$A$4:$AJ$39,19,)</f>
        <v>0</v>
      </c>
      <c r="K654" s="48">
        <f>VLOOKUP($B632,[8]Complaints!$A$4:$AJ$39,19,)</f>
        <v>0</v>
      </c>
      <c r="L654" s="48">
        <f>VLOOKUP($B632,[9]Complaints!$A$4:$AJ$39,19,)</f>
        <v>0</v>
      </c>
      <c r="M654" s="48">
        <f>VLOOKUP($B632,[10]Complaints!$A$4:$AJ$39,19,)</f>
        <v>0</v>
      </c>
      <c r="N654" s="48">
        <f>VLOOKUP($B632,[11]Complaints!$A$4:$AJ$39,19,)</f>
        <v>0</v>
      </c>
      <c r="O654" s="49">
        <f>VLOOKUP($B632,[12]Complaints!$A$4:$AJ$39,19,)</f>
        <v>0</v>
      </c>
      <c r="P654" s="55">
        <f t="shared" si="171"/>
        <v>0</v>
      </c>
      <c r="Q654" s="50" t="str">
        <f>IF(P654=0,"",P654/$P634)</f>
        <v/>
      </c>
      <c r="R654" s="18"/>
    </row>
    <row r="655" spans="2:18" ht="15.75" customHeight="1" thickBot="1" x14ac:dyDescent="0.25">
      <c r="B655" s="170"/>
      <c r="C655" s="31" t="s">
        <v>83</v>
      </c>
      <c r="D655" s="47">
        <f>VLOOKUP($B632,[1]Complaints!$A$4:$AJ$39,20,)</f>
        <v>0</v>
      </c>
      <c r="E655" s="48">
        <f>VLOOKUP($B632,[2]Complaints!$A$4:$AJ$39,20,)</f>
        <v>0</v>
      </c>
      <c r="F655" s="48">
        <f>VLOOKUP($B632,[3]Complaints!$A$4:$AJ$39,20,)</f>
        <v>0</v>
      </c>
      <c r="G655" s="48">
        <f>VLOOKUP($B632,[4]Complaints!$A$4:$AJ$39,20,)</f>
        <v>0</v>
      </c>
      <c r="H655" s="48">
        <f>VLOOKUP($B632,[5]Complaints!$A$4:$AJ$39,20,)</f>
        <v>0</v>
      </c>
      <c r="I655" s="48">
        <f>VLOOKUP($B632,[6]Complaints!$A$4:$AJ$39,20,)</f>
        <v>0</v>
      </c>
      <c r="J655" s="48">
        <f>VLOOKUP($B632,[7]Complaints!$A$4:$AJ$39,20,)</f>
        <v>0</v>
      </c>
      <c r="K655" s="48">
        <f>VLOOKUP($B632,[8]Complaints!$A$4:$AJ$39,20,)</f>
        <v>0</v>
      </c>
      <c r="L655" s="48">
        <f>VLOOKUP($B632,[9]Complaints!$A$4:$AJ$39,20,)</f>
        <v>0</v>
      </c>
      <c r="M655" s="48">
        <f>VLOOKUP($B632,[10]Complaints!$A$4:$AJ$39,20,)</f>
        <v>0</v>
      </c>
      <c r="N655" s="48">
        <f>VLOOKUP($B632,[11]Complaints!$A$4:$AJ$39,20,)</f>
        <v>0</v>
      </c>
      <c r="O655" s="49">
        <f>VLOOKUP($B632,[12]Complaints!$A$4:$AJ$39,20,)</f>
        <v>0</v>
      </c>
      <c r="P655" s="55">
        <f t="shared" si="171"/>
        <v>0</v>
      </c>
      <c r="Q655" s="50" t="str">
        <f>IF(P655=0,"",P655/$P634)</f>
        <v/>
      </c>
      <c r="R655" s="18"/>
    </row>
    <row r="656" spans="2:18" ht="15.75" customHeight="1" x14ac:dyDescent="0.2">
      <c r="B656" s="144" t="s">
        <v>90</v>
      </c>
      <c r="C656" s="37" t="s">
        <v>118</v>
      </c>
      <c r="D656" s="62">
        <f>VLOOKUP($B632,[1]Complaints!$A$4:$AJ$39,21,)</f>
        <v>0</v>
      </c>
      <c r="E656" s="63">
        <f>VLOOKUP($B632,[2]Complaints!$A$4:$AJ$39,21,)</f>
        <v>0</v>
      </c>
      <c r="F656" s="63">
        <f>VLOOKUP($B632,[3]Complaints!$A$4:$AJ$39,21,)</f>
        <v>0</v>
      </c>
      <c r="G656" s="63">
        <f>VLOOKUP($B632,[4]Complaints!$A$4:$AJ$39,21,)</f>
        <v>0</v>
      </c>
      <c r="H656" s="63">
        <f>VLOOKUP($B632,[5]Complaints!$A$4:$AJ$39,21,)</f>
        <v>0</v>
      </c>
      <c r="I656" s="63">
        <f>VLOOKUP($B632,[6]Complaints!$A$4:$AJ$39,21,)</f>
        <v>1</v>
      </c>
      <c r="J656" s="63">
        <f>VLOOKUP($B632,[7]Complaints!$A$4:$AJ$39,21,)</f>
        <v>0</v>
      </c>
      <c r="K656" s="63">
        <f>VLOOKUP($B632,[8]Complaints!$A$4:$AJ$39,21,)</f>
        <v>0</v>
      </c>
      <c r="L656" s="63">
        <f>VLOOKUP($B632,[9]Complaints!$A$4:$AJ$39,21,)</f>
        <v>0</v>
      </c>
      <c r="M656" s="63">
        <f>VLOOKUP($B632,[10]Complaints!$A$4:$AJ$39,21,)</f>
        <v>0</v>
      </c>
      <c r="N656" s="63">
        <f>VLOOKUP($B632,[11]Complaints!$A$4:$AJ$39,21,)</f>
        <v>0</v>
      </c>
      <c r="O656" s="64">
        <f>VLOOKUP($B632,[12]Complaints!$A$4:$AJ$39,21,)</f>
        <v>0</v>
      </c>
      <c r="P656" s="65">
        <f>SUM(D656:O656)</f>
        <v>1</v>
      </c>
      <c r="Q656" s="46">
        <f>IF(P656=0,"",P656/$P640)</f>
        <v>1</v>
      </c>
      <c r="R656" s="18"/>
    </row>
    <row r="657" spans="1:19" ht="15.75" customHeight="1" x14ac:dyDescent="0.2">
      <c r="B657" s="145"/>
      <c r="C657" s="38" t="s">
        <v>77</v>
      </c>
      <c r="D657" s="66">
        <f>VLOOKUP($B632,[1]Complaints!$A$4:$AJ$39,22,)</f>
        <v>0</v>
      </c>
      <c r="E657" s="67">
        <f>VLOOKUP($B632,[2]Complaints!$A$4:$AJ$39,22,)</f>
        <v>0</v>
      </c>
      <c r="F657" s="67">
        <f>VLOOKUP($B632,[3]Complaints!$A$4:$AJ$39,22,)</f>
        <v>0</v>
      </c>
      <c r="G657" s="67">
        <f>VLOOKUP($B632,[4]Complaints!$A$4:$AJ$39,22,)</f>
        <v>0</v>
      </c>
      <c r="H657" s="67">
        <f>VLOOKUP($B632,[5]Complaints!$A$4:$AJ$39,22,)</f>
        <v>0</v>
      </c>
      <c r="I657" s="67">
        <f>VLOOKUP($B632,[6]Complaints!$A$4:$AJ$39,22,)</f>
        <v>0</v>
      </c>
      <c r="J657" s="67">
        <f>VLOOKUP($B632,[7]Complaints!$A$4:$AJ$39,22,)</f>
        <v>0</v>
      </c>
      <c r="K657" s="67">
        <f>VLOOKUP($B632,[8]Complaints!$A$4:$AJ$39,22,)</f>
        <v>0</v>
      </c>
      <c r="L657" s="67">
        <f>VLOOKUP($B632,[9]Complaints!$A$4:$AJ$39,22,)</f>
        <v>0</v>
      </c>
      <c r="M657" s="67">
        <f>VLOOKUP($B632,[10]Complaints!$A$4:$AJ$39,22,)</f>
        <v>0</v>
      </c>
      <c r="N657" s="67">
        <f>VLOOKUP($B632,[11]Complaints!$A$4:$AJ$39,22,)</f>
        <v>0</v>
      </c>
      <c r="O657" s="68">
        <f>VLOOKUP($B632,[12]Complaints!$A$4:$AJ$39,22,)</f>
        <v>0</v>
      </c>
      <c r="P657" s="69">
        <f t="shared" ref="P657:P671" si="172">SUM(D657:O657)</f>
        <v>0</v>
      </c>
      <c r="Q657" s="70" t="str">
        <f>IF(P657=0,"",P657/$P640)</f>
        <v/>
      </c>
      <c r="R657" s="18"/>
    </row>
    <row r="658" spans="1:19" ht="15.75" customHeight="1" x14ac:dyDescent="0.2">
      <c r="B658" s="145"/>
      <c r="C658" s="38" t="s">
        <v>108</v>
      </c>
      <c r="D658" s="66">
        <f>VLOOKUP($B632,[1]Complaints!$A$4:$AJ$39,23,)</f>
        <v>0</v>
      </c>
      <c r="E658" s="67">
        <f>VLOOKUP($B632,[2]Complaints!$A$4:$AJ$39,23,)</f>
        <v>0</v>
      </c>
      <c r="F658" s="67">
        <f>VLOOKUP($B632,[3]Complaints!$A$4:$AJ$39,23,)</f>
        <v>0</v>
      </c>
      <c r="G658" s="67">
        <f>VLOOKUP($B632,[4]Complaints!$A$4:$AJ$39,23,)</f>
        <v>0</v>
      </c>
      <c r="H658" s="67">
        <f>VLOOKUP($B632,[5]Complaints!$A$4:$AJ$39,23,)</f>
        <v>0</v>
      </c>
      <c r="I658" s="67">
        <f>VLOOKUP($B632,[6]Complaints!$A$4:$AJ$39,23,)</f>
        <v>1</v>
      </c>
      <c r="J658" s="67">
        <f>VLOOKUP($B632,[7]Complaints!$A$4:$AJ$39,23,)</f>
        <v>0</v>
      </c>
      <c r="K658" s="67">
        <f>VLOOKUP($B632,[8]Complaints!$A$4:$AJ$39,23,)</f>
        <v>0</v>
      </c>
      <c r="L658" s="67">
        <f>VLOOKUP($B632,[9]Complaints!$A$4:$AJ$39,23,)</f>
        <v>0</v>
      </c>
      <c r="M658" s="67">
        <f>VLOOKUP($B632,[10]Complaints!$A$4:$AJ$39,23,)</f>
        <v>0</v>
      </c>
      <c r="N658" s="67">
        <f>VLOOKUP($B632,[11]Complaints!$A$4:$AJ$39,23,)</f>
        <v>0</v>
      </c>
      <c r="O658" s="68">
        <f>VLOOKUP($B632,[12]Complaints!$A$4:$AJ$39,23,)</f>
        <v>0</v>
      </c>
      <c r="P658" s="69">
        <f t="shared" si="172"/>
        <v>1</v>
      </c>
      <c r="Q658" s="70">
        <f>IF(P658=0,"",P658/$P640)</f>
        <v>1</v>
      </c>
      <c r="R658" s="18"/>
    </row>
    <row r="659" spans="1:19" ht="15.75" customHeight="1" x14ac:dyDescent="0.2">
      <c r="B659" s="145"/>
      <c r="C659" s="38" t="s">
        <v>88</v>
      </c>
      <c r="D659" s="66">
        <f>VLOOKUP($B632,[1]Complaints!$A$4:$AJ$39,24,)</f>
        <v>0</v>
      </c>
      <c r="E659" s="67">
        <f>VLOOKUP($B632,[2]Complaints!$A$4:$AJ$39,24,)</f>
        <v>0</v>
      </c>
      <c r="F659" s="67">
        <f>VLOOKUP($B632,[3]Complaints!$A$4:$AJ$39,24,)</f>
        <v>0</v>
      </c>
      <c r="G659" s="67">
        <f>VLOOKUP($B632,[4]Complaints!$A$4:$AJ$39,24,)</f>
        <v>0</v>
      </c>
      <c r="H659" s="67">
        <f>VLOOKUP($B632,[5]Complaints!$A$4:$AJ$39,24,)</f>
        <v>0</v>
      </c>
      <c r="I659" s="67">
        <f>VLOOKUP($B632,[6]Complaints!$A$4:$AJ$39,24,)</f>
        <v>0</v>
      </c>
      <c r="J659" s="67">
        <f>VLOOKUP($B632,[7]Complaints!$A$4:$AJ$39,24,)</f>
        <v>0</v>
      </c>
      <c r="K659" s="67">
        <f>VLOOKUP($B632,[8]Complaints!$A$4:$AJ$39,24,)</f>
        <v>0</v>
      </c>
      <c r="L659" s="67">
        <f>VLOOKUP($B632,[9]Complaints!$A$4:$AJ$39,24,)</f>
        <v>0</v>
      </c>
      <c r="M659" s="67">
        <f>VLOOKUP($B632,[10]Complaints!$A$4:$AJ$39,24,)</f>
        <v>0</v>
      </c>
      <c r="N659" s="67">
        <f>VLOOKUP($B632,[11]Complaints!$A$4:$AJ$39,24,)</f>
        <v>0</v>
      </c>
      <c r="O659" s="68">
        <f>VLOOKUP($B632,[12]Complaints!$A$4:$AJ$39,24,)</f>
        <v>0</v>
      </c>
      <c r="P659" s="69">
        <f t="shared" si="172"/>
        <v>0</v>
      </c>
      <c r="Q659" s="70" t="str">
        <f>IF(P659=0,"",P659/$P640)</f>
        <v/>
      </c>
      <c r="R659" s="18"/>
    </row>
    <row r="660" spans="1:19" ht="15.75" customHeight="1" x14ac:dyDescent="0.2">
      <c r="B660" s="145"/>
      <c r="C660" s="38" t="s">
        <v>109</v>
      </c>
      <c r="D660" s="66">
        <f>VLOOKUP($B632,[1]Complaints!$A$4:$AJ$39,25,)</f>
        <v>0</v>
      </c>
      <c r="E660" s="67">
        <f>VLOOKUP($B632,[2]Complaints!$A$4:$AJ$39,25,)</f>
        <v>0</v>
      </c>
      <c r="F660" s="67">
        <f>VLOOKUP($B632,[3]Complaints!$A$4:$AJ$39,25,)</f>
        <v>0</v>
      </c>
      <c r="G660" s="67">
        <f>VLOOKUP($B632,[4]Complaints!$A$4:$AJ$39,25,)</f>
        <v>0</v>
      </c>
      <c r="H660" s="67">
        <f>VLOOKUP($B632,[5]Complaints!$A$4:$AJ$39,25,)</f>
        <v>0</v>
      </c>
      <c r="I660" s="67">
        <f>VLOOKUP($B632,[6]Complaints!$A$4:$AJ$39,25,)</f>
        <v>0</v>
      </c>
      <c r="J660" s="67">
        <f>VLOOKUP($B632,[7]Complaints!$A$4:$AJ$39,25,)</f>
        <v>0</v>
      </c>
      <c r="K660" s="67">
        <f>VLOOKUP($B632,[8]Complaints!$A$4:$AJ$39,25,)</f>
        <v>0</v>
      </c>
      <c r="L660" s="67">
        <f>VLOOKUP($B632,[9]Complaints!$A$4:$AJ$39,25,)</f>
        <v>0</v>
      </c>
      <c r="M660" s="67">
        <f>VLOOKUP($B632,[10]Complaints!$A$4:$AJ$39,25,)</f>
        <v>0</v>
      </c>
      <c r="N660" s="67">
        <f>VLOOKUP($B632,[11]Complaints!$A$4:$AJ$39,25,)</f>
        <v>0</v>
      </c>
      <c r="O660" s="68">
        <f>VLOOKUP($B632,[12]Complaints!$A$4:$AJ$39,25,)</f>
        <v>0</v>
      </c>
      <c r="P660" s="69">
        <f t="shared" si="172"/>
        <v>0</v>
      </c>
      <c r="Q660" s="70" t="str">
        <f>IF(P660=0,"",P660/$P640)</f>
        <v/>
      </c>
      <c r="R660" s="18"/>
    </row>
    <row r="661" spans="1:19" ht="15.75" customHeight="1" x14ac:dyDescent="0.2">
      <c r="A661" s="21"/>
      <c r="B661" s="145"/>
      <c r="C661" s="38" t="s">
        <v>110</v>
      </c>
      <c r="D661" s="66">
        <f>VLOOKUP($B632,[1]Complaints!$A$4:$AJ$39,26,)</f>
        <v>0</v>
      </c>
      <c r="E661" s="67">
        <f>VLOOKUP($B632,[2]Complaints!$A$4:$AJ$39,26,)</f>
        <v>0</v>
      </c>
      <c r="F661" s="67">
        <f>VLOOKUP($B632,[3]Complaints!$A$4:$AJ$39,26,)</f>
        <v>0</v>
      </c>
      <c r="G661" s="67">
        <f>VLOOKUP($B632,[4]Complaints!$A$4:$AJ$39,26,)</f>
        <v>0</v>
      </c>
      <c r="H661" s="67">
        <f>VLOOKUP($B632,[5]Complaints!$A$4:$AJ$39,26,)</f>
        <v>0</v>
      </c>
      <c r="I661" s="67">
        <f>VLOOKUP($B632,[6]Complaints!$A$4:$AJ$39,26,)</f>
        <v>0</v>
      </c>
      <c r="J661" s="67">
        <f>VLOOKUP($B632,[7]Complaints!$A$4:$AJ$39,26,)</f>
        <v>0</v>
      </c>
      <c r="K661" s="67">
        <f>VLOOKUP($B632,[8]Complaints!$A$4:$AJ$39,26,)</f>
        <v>0</v>
      </c>
      <c r="L661" s="67">
        <f>VLOOKUP($B632,[9]Complaints!$A$4:$AJ$39,26,)</f>
        <v>0</v>
      </c>
      <c r="M661" s="67">
        <f>VLOOKUP($B632,[10]Complaints!$A$4:$AJ$39,26,)</f>
        <v>0</v>
      </c>
      <c r="N661" s="67">
        <f>VLOOKUP($B632,[11]Complaints!$A$4:$AJ$39,26,)</f>
        <v>0</v>
      </c>
      <c r="O661" s="68">
        <f>VLOOKUP($B632,[12]Complaints!$A$4:$AJ$39,26,)</f>
        <v>0</v>
      </c>
      <c r="P661" s="69">
        <f t="shared" si="172"/>
        <v>0</v>
      </c>
      <c r="Q661" s="70" t="str">
        <f>IF(P661=0,"",P661/$P640)</f>
        <v/>
      </c>
      <c r="R661" s="18"/>
    </row>
    <row r="662" spans="1:19" s="21" customFormat="1" ht="15.75" customHeight="1" x14ac:dyDescent="0.2">
      <c r="B662" s="145"/>
      <c r="C662" s="39" t="s">
        <v>107</v>
      </c>
      <c r="D662" s="71">
        <f>VLOOKUP($B632,[1]Complaints!$A$4:$AJ$39,27,)</f>
        <v>0</v>
      </c>
      <c r="E662" s="72">
        <f>VLOOKUP($B632,[2]Complaints!$A$4:$AJ$39,27,)</f>
        <v>0</v>
      </c>
      <c r="F662" s="72">
        <f>VLOOKUP($B632,[3]Complaints!$A$4:$AJ$39,27,)</f>
        <v>0</v>
      </c>
      <c r="G662" s="72">
        <f>VLOOKUP($B632,[4]Complaints!$A$4:$AJ$39,27,)</f>
        <v>0</v>
      </c>
      <c r="H662" s="72">
        <f>VLOOKUP($B632,[5]Complaints!$A$4:$AJ$39,27,)</f>
        <v>0</v>
      </c>
      <c r="I662" s="72">
        <f>VLOOKUP($B632,[6]Complaints!$A$4:$AJ$39,27,)</f>
        <v>0</v>
      </c>
      <c r="J662" s="72">
        <f>VLOOKUP($B632,[7]Complaints!$A$4:$AJ$39,27,)</f>
        <v>0</v>
      </c>
      <c r="K662" s="72">
        <f>VLOOKUP($B632,[8]Complaints!$A$4:$AJ$39,27,)</f>
        <v>0</v>
      </c>
      <c r="L662" s="72">
        <f>VLOOKUP($B632,[9]Complaints!$A$4:$AJ$39,27,)</f>
        <v>0</v>
      </c>
      <c r="M662" s="72">
        <f>VLOOKUP($B632,[10]Complaints!$A$4:$AJ$39,27,)</f>
        <v>0</v>
      </c>
      <c r="N662" s="72">
        <f>VLOOKUP($B632,[11]Complaints!$A$4:$AJ$39,27,)</f>
        <v>0</v>
      </c>
      <c r="O662" s="73">
        <f>VLOOKUP($B632,[12]Complaints!$A$4:$AJ$39,27,)</f>
        <v>0</v>
      </c>
      <c r="P662" s="69">
        <f t="shared" si="172"/>
        <v>0</v>
      </c>
      <c r="Q662" s="70" t="str">
        <f>IF(P662=0,"",P662/$P640)</f>
        <v/>
      </c>
      <c r="S662" s="18"/>
    </row>
    <row r="663" spans="1:19" ht="15.75" customHeight="1" x14ac:dyDescent="0.2">
      <c r="B663" s="145"/>
      <c r="C663" s="39" t="s">
        <v>87</v>
      </c>
      <c r="D663" s="71">
        <f>VLOOKUP($B632,[1]Complaints!$A$4:$AJ$39,28,)</f>
        <v>0</v>
      </c>
      <c r="E663" s="72">
        <f>VLOOKUP($B632,[2]Complaints!$A$4:$AJ$39,28,)</f>
        <v>0</v>
      </c>
      <c r="F663" s="72">
        <f>VLOOKUP($B632,[3]Complaints!$A$4:$AJ$39,28,)</f>
        <v>0</v>
      </c>
      <c r="G663" s="72">
        <f>VLOOKUP($B632,[4]Complaints!$A$4:$AJ$39,28,)</f>
        <v>0</v>
      </c>
      <c r="H663" s="72">
        <f>VLOOKUP($B632,[5]Complaints!$A$4:$AJ$39,28,)</f>
        <v>0</v>
      </c>
      <c r="I663" s="72">
        <f>VLOOKUP($B632,[6]Complaints!$A$4:$AJ$39,28,)</f>
        <v>0</v>
      </c>
      <c r="J663" s="72">
        <f>VLOOKUP($B632,[7]Complaints!$A$4:$AJ$39,28,)</f>
        <v>0</v>
      </c>
      <c r="K663" s="72">
        <f>VLOOKUP($B632,[8]Complaints!$A$4:$AJ$39,28,)</f>
        <v>0</v>
      </c>
      <c r="L663" s="72">
        <f>VLOOKUP($B632,[9]Complaints!$A$4:$AJ$39,28,)</f>
        <v>0</v>
      </c>
      <c r="M663" s="72">
        <f>VLOOKUP($B632,[10]Complaints!$A$4:$AJ$39,28,)</f>
        <v>0</v>
      </c>
      <c r="N663" s="72">
        <f>VLOOKUP($B632,[11]Complaints!$A$4:$AJ$39,28,)</f>
        <v>0</v>
      </c>
      <c r="O663" s="73">
        <f>VLOOKUP($B632,[12]Complaints!$A$4:$AJ$39,28,)</f>
        <v>0</v>
      </c>
      <c r="P663" s="69">
        <f t="shared" si="172"/>
        <v>0</v>
      </c>
      <c r="Q663" s="70" t="str">
        <f>IF(P663=0,"",P663/$P640)</f>
        <v/>
      </c>
      <c r="R663" s="18"/>
    </row>
    <row r="664" spans="1:19" ht="15.75" customHeight="1" x14ac:dyDescent="0.2">
      <c r="B664" s="145"/>
      <c r="C664" s="38" t="s">
        <v>111</v>
      </c>
      <c r="D664" s="66">
        <f>VLOOKUP($B632,[1]Complaints!$A$4:$AJ$39,29,)</f>
        <v>0</v>
      </c>
      <c r="E664" s="67">
        <f>VLOOKUP($B632,[2]Complaints!$A$4:$AJ$39,29,)</f>
        <v>0</v>
      </c>
      <c r="F664" s="67">
        <f>VLOOKUP($B632,[3]Complaints!$A$4:$AJ$39,29,)</f>
        <v>0</v>
      </c>
      <c r="G664" s="67">
        <f>VLOOKUP($B632,[4]Complaints!$A$4:$AJ$39,29,)</f>
        <v>0</v>
      </c>
      <c r="H664" s="67">
        <f>VLOOKUP($B632,[5]Complaints!$A$4:$AJ$39,29,)</f>
        <v>0</v>
      </c>
      <c r="I664" s="67">
        <f>VLOOKUP($B632,[6]Complaints!$A$4:$AJ$39,29,)</f>
        <v>0</v>
      </c>
      <c r="J664" s="67">
        <f>VLOOKUP($B632,[7]Complaints!$A$4:$AJ$39,29,)</f>
        <v>0</v>
      </c>
      <c r="K664" s="67">
        <f>VLOOKUP($B632,[8]Complaints!$A$4:$AJ$39,29,)</f>
        <v>0</v>
      </c>
      <c r="L664" s="67">
        <f>VLOOKUP($B632,[9]Complaints!$A$4:$AJ$39,29,)</f>
        <v>0</v>
      </c>
      <c r="M664" s="67">
        <f>VLOOKUP($B632,[10]Complaints!$A$4:$AJ$39,29,)</f>
        <v>0</v>
      </c>
      <c r="N664" s="67">
        <f>VLOOKUP($B632,[11]Complaints!$A$4:$AJ$39,29,)</f>
        <v>0</v>
      </c>
      <c r="O664" s="68">
        <f>VLOOKUP($B632,[12]Complaints!$A$4:$AJ$39,29,)</f>
        <v>0</v>
      </c>
      <c r="P664" s="69">
        <f t="shared" si="172"/>
        <v>0</v>
      </c>
      <c r="Q664" s="70" t="str">
        <f>IF(P664=0,"",P664/$P640)</f>
        <v/>
      </c>
      <c r="R664" s="18"/>
    </row>
    <row r="665" spans="1:19" ht="15.75" customHeight="1" x14ac:dyDescent="0.2">
      <c r="B665" s="145"/>
      <c r="C665" s="38" t="s">
        <v>112</v>
      </c>
      <c r="D665" s="66">
        <f>VLOOKUP($B632,[1]Complaints!$A$4:$AJ$39,30,)</f>
        <v>0</v>
      </c>
      <c r="E665" s="67">
        <f>VLOOKUP($B632,[2]Complaints!$A$4:$AJ$39,30,)</f>
        <v>0</v>
      </c>
      <c r="F665" s="67">
        <f>VLOOKUP($B632,[3]Complaints!$A$4:$AJ$39,30,)</f>
        <v>0</v>
      </c>
      <c r="G665" s="67">
        <f>VLOOKUP($B632,[4]Complaints!$A$4:$AJ$39,30,)</f>
        <v>0</v>
      </c>
      <c r="H665" s="67">
        <f>VLOOKUP($B632,[5]Complaints!$A$4:$AJ$39,30,)</f>
        <v>0</v>
      </c>
      <c r="I665" s="67">
        <f>VLOOKUP($B632,[6]Complaints!$A$4:$AJ$39,30,)</f>
        <v>0</v>
      </c>
      <c r="J665" s="67">
        <f>VLOOKUP($B632,[7]Complaints!$A$4:$AJ$39,30,)</f>
        <v>0</v>
      </c>
      <c r="K665" s="67">
        <f>VLOOKUP($B632,[8]Complaints!$A$4:$AJ$39,30,)</f>
        <v>0</v>
      </c>
      <c r="L665" s="67">
        <f>VLOOKUP($B632,[9]Complaints!$A$4:$AJ$39,30,)</f>
        <v>0</v>
      </c>
      <c r="M665" s="67">
        <f>VLOOKUP($B632,[10]Complaints!$A$4:$AJ$39,30,)</f>
        <v>0</v>
      </c>
      <c r="N665" s="67">
        <f>VLOOKUP($B632,[11]Complaints!$A$4:$AJ$39,30,)</f>
        <v>0</v>
      </c>
      <c r="O665" s="68">
        <f>VLOOKUP($B632,[12]Complaints!$A$4:$AJ$39,30,)</f>
        <v>0</v>
      </c>
      <c r="P665" s="69">
        <f t="shared" si="172"/>
        <v>0</v>
      </c>
      <c r="Q665" s="70" t="str">
        <f>IF(P665=0,"",P665/$P640)</f>
        <v/>
      </c>
      <c r="R665" s="18"/>
    </row>
    <row r="666" spans="1:19" ht="15.75" customHeight="1" x14ac:dyDescent="0.2">
      <c r="B666" s="146"/>
      <c r="C666" s="40" t="s">
        <v>119</v>
      </c>
      <c r="D666" s="74">
        <f>VLOOKUP($B632,[1]Complaints!$A$4:$AJ$39,31,)</f>
        <v>0</v>
      </c>
      <c r="E666" s="75">
        <f>VLOOKUP($B632,[2]Complaints!$A$4:$AJ$39,31,)</f>
        <v>0</v>
      </c>
      <c r="F666" s="75">
        <f>VLOOKUP($B632,[3]Complaints!$A$4:$AJ$39,31,)</f>
        <v>0</v>
      </c>
      <c r="G666" s="75">
        <f>VLOOKUP($B632,[4]Complaints!$A$4:$AJ$39,31,)</f>
        <v>0</v>
      </c>
      <c r="H666" s="75">
        <f>VLOOKUP($B632,[5]Complaints!$A$4:$AJ$39,31,)</f>
        <v>0</v>
      </c>
      <c r="I666" s="75">
        <f>VLOOKUP($B632,[6]Complaints!$A$4:$AJ$39,31,)</f>
        <v>0</v>
      </c>
      <c r="J666" s="75">
        <f>VLOOKUP($B632,[7]Complaints!$A$4:$AJ$39,31,)</f>
        <v>0</v>
      </c>
      <c r="K666" s="75">
        <f>VLOOKUP($B632,[8]Complaints!$A$4:$AJ$39,31,)</f>
        <v>0</v>
      </c>
      <c r="L666" s="75">
        <f>VLOOKUP($B632,[9]Complaints!$A$4:$AJ$39,31,)</f>
        <v>0</v>
      </c>
      <c r="M666" s="75">
        <f>VLOOKUP($B632,[10]Complaints!$A$4:$AJ$39,31,)</f>
        <v>0</v>
      </c>
      <c r="N666" s="75">
        <f>VLOOKUP($B632,[11]Complaints!$A$4:$AJ$39,31,)</f>
        <v>0</v>
      </c>
      <c r="O666" s="76">
        <f>VLOOKUP($B632,[12]Complaints!$A$4:$AJ$39,31,)</f>
        <v>0</v>
      </c>
      <c r="P666" s="77">
        <f t="shared" si="172"/>
        <v>0</v>
      </c>
      <c r="Q666" s="50" t="str">
        <f>IF(P666=0,"",P666/$P640)</f>
        <v/>
      </c>
      <c r="R666" s="18"/>
    </row>
    <row r="667" spans="1:19" ht="15.75" customHeight="1" x14ac:dyDescent="0.2">
      <c r="B667" s="146"/>
      <c r="C667" s="38" t="s">
        <v>113</v>
      </c>
      <c r="D667" s="66">
        <f>VLOOKUP($B632,[1]Complaints!$A$4:$AJ$39,32,)</f>
        <v>0</v>
      </c>
      <c r="E667" s="67">
        <f>VLOOKUP($B632,[2]Complaints!$A$4:$AJ$39,32,)</f>
        <v>0</v>
      </c>
      <c r="F667" s="67">
        <f>VLOOKUP($B632,[3]Complaints!$A$4:$AJ$39,32,)</f>
        <v>0</v>
      </c>
      <c r="G667" s="67">
        <f>VLOOKUP($B632,[4]Complaints!$A$4:$AJ$39,32,)</f>
        <v>0</v>
      </c>
      <c r="H667" s="67">
        <f>VLOOKUP($B632,[5]Complaints!$A$4:$AJ$39,32,)</f>
        <v>0</v>
      </c>
      <c r="I667" s="67">
        <f>VLOOKUP($B632,[6]Complaints!$A$4:$AJ$39,32,)</f>
        <v>0</v>
      </c>
      <c r="J667" s="67">
        <f>VLOOKUP($B632,[7]Complaints!$A$4:$AJ$39,32,)</f>
        <v>0</v>
      </c>
      <c r="K667" s="67">
        <f>VLOOKUP($B632,[8]Complaints!$A$4:$AJ$39,32,)</f>
        <v>0</v>
      </c>
      <c r="L667" s="67">
        <f>VLOOKUP($B632,[9]Complaints!$A$4:$AJ$39,32,)</f>
        <v>0</v>
      </c>
      <c r="M667" s="67">
        <f>VLOOKUP($B632,[10]Complaints!$A$4:$AJ$39,32,)</f>
        <v>0</v>
      </c>
      <c r="N667" s="67">
        <f>VLOOKUP($B632,[11]Complaints!$A$4:$AJ$39,32,)</f>
        <v>0</v>
      </c>
      <c r="O667" s="68">
        <f>VLOOKUP($B632,[12]Complaints!$A$4:$AJ$39,32,)</f>
        <v>0</v>
      </c>
      <c r="P667" s="69">
        <f t="shared" si="172"/>
        <v>0</v>
      </c>
      <c r="Q667" s="70" t="str">
        <f>IF(P667=0,"",P667/$P640)</f>
        <v/>
      </c>
      <c r="R667" s="18"/>
    </row>
    <row r="668" spans="1:19" ht="15.75" customHeight="1" x14ac:dyDescent="0.2">
      <c r="B668" s="146"/>
      <c r="C668" s="38" t="s">
        <v>114</v>
      </c>
      <c r="D668" s="66">
        <f>VLOOKUP($B632,[1]Complaints!$A$4:$AJ$39,33,)</f>
        <v>0</v>
      </c>
      <c r="E668" s="67">
        <f>VLOOKUP($B632,[2]Complaints!$A$4:$AJ$39,33,)</f>
        <v>0</v>
      </c>
      <c r="F668" s="67">
        <f>VLOOKUP($B632,[3]Complaints!$A$4:$AJ$39,33,)</f>
        <v>0</v>
      </c>
      <c r="G668" s="67">
        <f>VLOOKUP($B632,[4]Complaints!$A$4:$AJ$39,33,)</f>
        <v>0</v>
      </c>
      <c r="H668" s="67">
        <f>VLOOKUP($B632,[5]Complaints!$A$4:$AJ$39,33,)</f>
        <v>0</v>
      </c>
      <c r="I668" s="67">
        <f>VLOOKUP($B632,[6]Complaints!$A$4:$AJ$39,33,)</f>
        <v>0</v>
      </c>
      <c r="J668" s="67">
        <f>VLOOKUP($B632,[7]Complaints!$A$4:$AJ$39,33,)</f>
        <v>0</v>
      </c>
      <c r="K668" s="67">
        <f>VLOOKUP($B632,[8]Complaints!$A$4:$AJ$39,33,)</f>
        <v>0</v>
      </c>
      <c r="L668" s="67">
        <f>VLOOKUP($B632,[9]Complaints!$A$4:$AJ$39,33,)</f>
        <v>0</v>
      </c>
      <c r="M668" s="67">
        <f>VLOOKUP($B632,[10]Complaints!$A$4:$AJ$39,33,)</f>
        <v>0</v>
      </c>
      <c r="N668" s="67">
        <f>VLOOKUP($B632,[11]Complaints!$A$4:$AJ$39,33,)</f>
        <v>0</v>
      </c>
      <c r="O668" s="68">
        <f>VLOOKUP($B632,[12]Complaints!$A$4:$AJ$39,33,)</f>
        <v>0</v>
      </c>
      <c r="P668" s="69">
        <f t="shared" si="172"/>
        <v>0</v>
      </c>
      <c r="Q668" s="70" t="str">
        <f>IF(P668=0,"",P668/$P640)</f>
        <v/>
      </c>
      <c r="R668" s="18"/>
    </row>
    <row r="669" spans="1:19" ht="15.75" customHeight="1" x14ac:dyDescent="0.2">
      <c r="B669" s="146"/>
      <c r="C669" s="38" t="s">
        <v>115</v>
      </c>
      <c r="D669" s="66">
        <f>VLOOKUP($B632,[1]Complaints!$A$4:$AJ$39,34,)</f>
        <v>0</v>
      </c>
      <c r="E669" s="67">
        <f>VLOOKUP($B632,[2]Complaints!$A$4:$AJ$39,34,)</f>
        <v>0</v>
      </c>
      <c r="F669" s="67">
        <f>VLOOKUP($B632,[3]Complaints!$A$4:$AJ$39,34,)</f>
        <v>0</v>
      </c>
      <c r="G669" s="67">
        <f>VLOOKUP($B632,[4]Complaints!$A$4:$AJ$39,34,)</f>
        <v>0</v>
      </c>
      <c r="H669" s="67">
        <f>VLOOKUP($B632,[5]Complaints!$A$4:$AJ$39,34,)</f>
        <v>0</v>
      </c>
      <c r="I669" s="67">
        <f>VLOOKUP($B632,[6]Complaints!$A$4:$AJ$39,34,)</f>
        <v>0</v>
      </c>
      <c r="J669" s="67">
        <f>VLOOKUP($B632,[7]Complaints!$A$4:$AJ$39,34,)</f>
        <v>0</v>
      </c>
      <c r="K669" s="67">
        <f>VLOOKUP($B632,[8]Complaints!$A$4:$AJ$39,34,)</f>
        <v>0</v>
      </c>
      <c r="L669" s="67">
        <f>VLOOKUP($B632,[9]Complaints!$A$4:$AJ$39,34,)</f>
        <v>0</v>
      </c>
      <c r="M669" s="67">
        <f>VLOOKUP($B632,[10]Complaints!$A$4:$AJ$39,34,)</f>
        <v>0</v>
      </c>
      <c r="N669" s="67">
        <f>VLOOKUP($B632,[11]Complaints!$A$4:$AJ$39,34,)</f>
        <v>0</v>
      </c>
      <c r="O669" s="68">
        <f>VLOOKUP($B632,[12]Complaints!$A$4:$AJ$39,34,)</f>
        <v>0</v>
      </c>
      <c r="P669" s="69">
        <f t="shared" si="172"/>
        <v>0</v>
      </c>
      <c r="Q669" s="70" t="str">
        <f>IF(P669=0,"",P669/$P640)</f>
        <v/>
      </c>
      <c r="R669" s="18"/>
    </row>
    <row r="670" spans="1:19" ht="15.75" customHeight="1" x14ac:dyDescent="0.2">
      <c r="B670" s="146"/>
      <c r="C670" s="38" t="s">
        <v>116</v>
      </c>
      <c r="D670" s="66">
        <f>VLOOKUP($B632,[1]Complaints!$A$4:$AJ$39,35,)</f>
        <v>0</v>
      </c>
      <c r="E670" s="67">
        <f>VLOOKUP($B632,[2]Complaints!$A$4:$AJ$39,35,)</f>
        <v>0</v>
      </c>
      <c r="F670" s="67">
        <f>VLOOKUP($B632,[3]Complaints!$A$4:$AJ$39,35,)</f>
        <v>0</v>
      </c>
      <c r="G670" s="67">
        <f>VLOOKUP($B632,[4]Complaints!$A$4:$AJ$39,35,)</f>
        <v>0</v>
      </c>
      <c r="H670" s="67">
        <f>VLOOKUP($B632,[5]Complaints!$A$4:$AJ$39,35,)</f>
        <v>0</v>
      </c>
      <c r="I670" s="67">
        <f>VLOOKUP($B632,[6]Complaints!$A$4:$AJ$39,35,)</f>
        <v>0</v>
      </c>
      <c r="J670" s="67">
        <f>VLOOKUP($B632,[7]Complaints!$A$4:$AJ$39,35,)</f>
        <v>0</v>
      </c>
      <c r="K670" s="67">
        <f>VLOOKUP($B632,[8]Complaints!$A$4:$AJ$39,35,)</f>
        <v>0</v>
      </c>
      <c r="L670" s="67">
        <f>VLOOKUP($B632,[9]Complaints!$A$4:$AJ$39,35,)</f>
        <v>0</v>
      </c>
      <c r="M670" s="67">
        <f>VLOOKUP($B632,[10]Complaints!$A$4:$AJ$39,35,)</f>
        <v>0</v>
      </c>
      <c r="N670" s="67">
        <f>VLOOKUP($B632,[11]Complaints!$A$4:$AJ$39,35,)</f>
        <v>0</v>
      </c>
      <c r="O670" s="68">
        <f>VLOOKUP($B632,[12]Complaints!$A$4:$AJ$39,35,)</f>
        <v>0</v>
      </c>
      <c r="P670" s="69">
        <f t="shared" si="172"/>
        <v>0</v>
      </c>
      <c r="Q670" s="70" t="str">
        <f>IF(P670=0,"",P670/$P640)</f>
        <v/>
      </c>
      <c r="R670" s="18"/>
    </row>
    <row r="671" spans="1:19" ht="15.75" customHeight="1" thickBot="1" x14ac:dyDescent="0.25">
      <c r="B671" s="147"/>
      <c r="C671" s="41" t="s">
        <v>117</v>
      </c>
      <c r="D671" s="78">
        <f>VLOOKUP($B632,[1]Complaints!$A$4:$AJ$39,36,)</f>
        <v>0</v>
      </c>
      <c r="E671" s="79">
        <f>VLOOKUP($B632,[2]Complaints!$A$4:$AJ$39,36,)</f>
        <v>0</v>
      </c>
      <c r="F671" s="79">
        <f>VLOOKUP($B632,[3]Complaints!$A$4:$AJ$39,36,)</f>
        <v>0</v>
      </c>
      <c r="G671" s="79">
        <f>VLOOKUP($B632,[4]Complaints!$A$4:$AJ$39,36,)</f>
        <v>0</v>
      </c>
      <c r="H671" s="79">
        <f>VLOOKUP($B632,[5]Complaints!$A$4:$AJ$39,36,)</f>
        <v>0</v>
      </c>
      <c r="I671" s="79">
        <f>VLOOKUP($B632,[6]Complaints!$A$4:$AJ$39,36,)</f>
        <v>0</v>
      </c>
      <c r="J671" s="79">
        <f>VLOOKUP($B632,[7]Complaints!$A$4:$AJ$39,36,)</f>
        <v>0</v>
      </c>
      <c r="K671" s="79">
        <f>VLOOKUP($B632,[8]Complaints!$A$4:$AJ$39,36,)</f>
        <v>0</v>
      </c>
      <c r="L671" s="79">
        <f>VLOOKUP($B632,[9]Complaints!$A$4:$AJ$39,36,)</f>
        <v>0</v>
      </c>
      <c r="M671" s="79">
        <f>VLOOKUP($B632,[10]Complaints!$A$4:$AJ$39,36,)</f>
        <v>0</v>
      </c>
      <c r="N671" s="79">
        <f>VLOOKUP($B632,[11]Complaints!$A$4:$AJ$39,36,)</f>
        <v>0</v>
      </c>
      <c r="O671" s="80">
        <f>VLOOKUP($B632,[12]Complaints!$A$4:$AJ$39,36,)</f>
        <v>0</v>
      </c>
      <c r="P671" s="81">
        <f t="shared" si="172"/>
        <v>0</v>
      </c>
      <c r="Q671" s="82" t="str">
        <f>IF(P671=0,"",P671/$P640)</f>
        <v/>
      </c>
      <c r="R671" s="18"/>
    </row>
    <row r="672" spans="1:19" ht="15.75" customHeight="1" thickBot="1" x14ac:dyDescent="0.25">
      <c r="R672" s="18"/>
    </row>
    <row r="673" spans="2:19" ht="15.75" customHeight="1" x14ac:dyDescent="0.25">
      <c r="B673" s="158" t="s">
        <v>25</v>
      </c>
      <c r="C673" s="159"/>
      <c r="D673" s="32" t="s">
        <v>0</v>
      </c>
      <c r="E673" s="20" t="s">
        <v>1</v>
      </c>
      <c r="F673" s="20" t="s">
        <v>2</v>
      </c>
      <c r="G673" s="20" t="s">
        <v>3</v>
      </c>
      <c r="H673" s="20" t="s">
        <v>4</v>
      </c>
      <c r="I673" s="20" t="s">
        <v>5</v>
      </c>
      <c r="J673" s="20" t="s">
        <v>6</v>
      </c>
      <c r="K673" s="20" t="s">
        <v>7</v>
      </c>
      <c r="L673" s="20" t="s">
        <v>8</v>
      </c>
      <c r="M673" s="20" t="s">
        <v>9</v>
      </c>
      <c r="N673" s="20" t="s">
        <v>10</v>
      </c>
      <c r="O673" s="33" t="s">
        <v>11</v>
      </c>
      <c r="P673" s="35" t="s">
        <v>12</v>
      </c>
      <c r="Q673" s="160" t="s">
        <v>104</v>
      </c>
      <c r="R673" s="18"/>
    </row>
    <row r="674" spans="2:19" s="19" customFormat="1" ht="15.75" customHeight="1" thickBot="1" x14ac:dyDescent="0.3">
      <c r="B674" s="162" t="s">
        <v>60</v>
      </c>
      <c r="C674" s="163"/>
      <c r="D674" s="34">
        <v>2020</v>
      </c>
      <c r="E674" s="34">
        <v>2020</v>
      </c>
      <c r="F674" s="34">
        <v>2020</v>
      </c>
      <c r="G674" s="34">
        <v>2020</v>
      </c>
      <c r="H674" s="34">
        <v>2020</v>
      </c>
      <c r="I674" s="34">
        <v>2020</v>
      </c>
      <c r="J674" s="34">
        <v>2020</v>
      </c>
      <c r="K674" s="34">
        <v>2020</v>
      </c>
      <c r="L674" s="34">
        <v>2020</v>
      </c>
      <c r="M674" s="25">
        <v>2021</v>
      </c>
      <c r="N674" s="25">
        <v>2021</v>
      </c>
      <c r="O674" s="25">
        <v>2021</v>
      </c>
      <c r="P674" s="36" t="s">
        <v>122</v>
      </c>
      <c r="Q674" s="161"/>
      <c r="S674" s="18"/>
    </row>
    <row r="675" spans="2:19" ht="12.75" customHeight="1" thickBot="1" x14ac:dyDescent="0.25">
      <c r="B675" s="164" t="s">
        <v>38</v>
      </c>
      <c r="C675" s="165"/>
      <c r="D675" s="42">
        <f>VLOOKUP($B674,[1]Complaints!$A$4:$AJ$39,2,)</f>
        <v>161</v>
      </c>
      <c r="E675" s="43">
        <f>VLOOKUP($B674,[2]Complaints!$A$4:$AJ$39,2,)</f>
        <v>228</v>
      </c>
      <c r="F675" s="43">
        <f>VLOOKUP($B674,[3]Complaints!$A$4:$AJ$39,2)</f>
        <v>357</v>
      </c>
      <c r="G675" s="43">
        <f>VLOOKUP($B674,[4]Complaints!$A$4:$AJ$39,2)</f>
        <v>376</v>
      </c>
      <c r="H675" s="43">
        <f>VLOOKUP($B674,[5]Complaints!$A$4:$AJ$39,2)</f>
        <v>500</v>
      </c>
      <c r="I675" s="43">
        <f>VLOOKUP($B674,[6]Complaints!$A$4:$AJ$39,2)</f>
        <v>568</v>
      </c>
      <c r="J675" s="43">
        <f>VLOOKUP($B674,[7]Complaints!$A$4:$AJ$39,2)</f>
        <v>545</v>
      </c>
      <c r="K675" s="43">
        <f>VLOOKUP($B674,[8]Complaints!$A$4:$AJ$39,2)</f>
        <v>545</v>
      </c>
      <c r="L675" s="43">
        <f>VLOOKUP($B674,[9]Complaints!$A$4:$AJ$39,2)</f>
        <v>525</v>
      </c>
      <c r="M675" s="43">
        <f>VLOOKUP($B674,[10]Complaints!$A$4:$AJ$39,2)</f>
        <v>293</v>
      </c>
      <c r="N675" s="43">
        <f>VLOOKUP($B674,[11]Complaints!$A$4:$AJ$39,2)</f>
        <v>0</v>
      </c>
      <c r="O675" s="44">
        <f>VLOOKUP($B674,[12]Complaints!$A$4:$AJ$39,2)</f>
        <v>0</v>
      </c>
      <c r="P675" s="45">
        <f>SUM(D675:O675)</f>
        <v>4098</v>
      </c>
      <c r="Q675" s="46"/>
      <c r="R675" s="18"/>
    </row>
    <row r="676" spans="2:19" ht="15.75" customHeight="1" x14ac:dyDescent="0.2">
      <c r="B676" s="166" t="s">
        <v>94</v>
      </c>
      <c r="C676" s="167"/>
      <c r="D676" s="47">
        <f>VLOOKUP($B674,[1]Complaints!$A$4:$AF$39,3,)</f>
        <v>1</v>
      </c>
      <c r="E676" s="48">
        <f>VLOOKUP($B674,[2]Complaints!$A$4:$AF$39,3,)</f>
        <v>0</v>
      </c>
      <c r="F676" s="48">
        <f>VLOOKUP($B674,[3]Complaints!$A$4:$AG$39,3,)</f>
        <v>0</v>
      </c>
      <c r="G676" s="48">
        <f>VLOOKUP($B674,[4]Complaints!$A$4:$AG$39,3,)</f>
        <v>0</v>
      </c>
      <c r="H676" s="48">
        <f>VLOOKUP($B674,[5]Complaints!$A$4:$AG$39,3,)</f>
        <v>0</v>
      </c>
      <c r="I676" s="48">
        <f>VLOOKUP($B674,[6]Complaints!$A$4:$AG$39,3,)</f>
        <v>2</v>
      </c>
      <c r="J676" s="48">
        <f>VLOOKUP($B674,[7]Complaints!$A$4:$AG$39,3,)</f>
        <v>0</v>
      </c>
      <c r="K676" s="48">
        <f>VLOOKUP($B674,[8]Complaints!$A$4:$AG$39,3,)</f>
        <v>0</v>
      </c>
      <c r="L676" s="48">
        <f>VLOOKUP($B674,[9]Complaints!$A$4:$AG$39,3,)</f>
        <v>2</v>
      </c>
      <c r="M676" s="48">
        <f>VLOOKUP($B674,[10]Complaints!$A$4:$AG$39,3,)</f>
        <v>0</v>
      </c>
      <c r="N676" s="48">
        <f>VLOOKUP($B674,[11]Complaints!$A$4:$AG$39,3,)</f>
        <v>0</v>
      </c>
      <c r="O676" s="49">
        <f>VLOOKUP($B674,[12]Complaints!$A$4:$AG$39,3,)</f>
        <v>0</v>
      </c>
      <c r="P676" s="45">
        <f>SUM(D676:O676)</f>
        <v>5</v>
      </c>
      <c r="Q676" s="50"/>
      <c r="R676" s="18"/>
    </row>
    <row r="677" spans="2:19" ht="15.75" customHeight="1" x14ac:dyDescent="0.2">
      <c r="B677" s="26"/>
      <c r="C677" s="28" t="s">
        <v>102</v>
      </c>
      <c r="D677" s="51">
        <f>IF(D675=0,"",D676/D675)</f>
        <v>6.2111801242236021E-3</v>
      </c>
      <c r="E677" s="52">
        <f t="shared" ref="E677:O677" si="173">IF(E675=0,"",E676/E675)</f>
        <v>0</v>
      </c>
      <c r="F677" s="52">
        <f t="shared" si="173"/>
        <v>0</v>
      </c>
      <c r="G677" s="52">
        <f t="shared" si="173"/>
        <v>0</v>
      </c>
      <c r="H677" s="52">
        <f t="shared" si="173"/>
        <v>0</v>
      </c>
      <c r="I677" s="52">
        <f t="shared" si="173"/>
        <v>3.5211267605633804E-3</v>
      </c>
      <c r="J677" s="52">
        <f t="shared" si="173"/>
        <v>0</v>
      </c>
      <c r="K677" s="52">
        <f t="shared" si="173"/>
        <v>0</v>
      </c>
      <c r="L677" s="52">
        <f t="shared" si="173"/>
        <v>3.8095238095238095E-3</v>
      </c>
      <c r="M677" s="52">
        <f t="shared" si="173"/>
        <v>0</v>
      </c>
      <c r="N677" s="52" t="str">
        <f t="shared" si="173"/>
        <v/>
      </c>
      <c r="O677" s="53" t="str">
        <f t="shared" si="173"/>
        <v/>
      </c>
      <c r="P677" s="54">
        <f>IF(P676="","",P676/P675)</f>
        <v>1.2201073694485115E-3</v>
      </c>
      <c r="Q677" s="50"/>
      <c r="R677" s="18"/>
    </row>
    <row r="678" spans="2:19" s="21" customFormat="1" ht="15.75" customHeight="1" x14ac:dyDescent="0.2">
      <c r="B678" s="155" t="s">
        <v>95</v>
      </c>
      <c r="C678" s="156"/>
      <c r="D678" s="47">
        <f>VLOOKUP($B674,[1]Complaints!$A$4:$AF$39,4,)</f>
        <v>0</v>
      </c>
      <c r="E678" s="48">
        <f>VLOOKUP($B674,[2]Complaints!$A$4:$AF$39,4,)</f>
        <v>0</v>
      </c>
      <c r="F678" s="48">
        <f>VLOOKUP($B674,[3]Complaints!$A$4:$AG$39,4,)</f>
        <v>0</v>
      </c>
      <c r="G678" s="48">
        <f>VLOOKUP($B674,[4]Complaints!$A$4:$AG$39,4,)</f>
        <v>0</v>
      </c>
      <c r="H678" s="48">
        <f>VLOOKUP($B674,[5]Complaints!$A$4:$AG$39,4,)</f>
        <v>0</v>
      </c>
      <c r="I678" s="48">
        <f>VLOOKUP($B674,[6]Complaints!$A$4:$AG$39,4,)</f>
        <v>0</v>
      </c>
      <c r="J678" s="48">
        <f>VLOOKUP($B674,[7]Complaints!$A$4:$AG$39,4,)</f>
        <v>0</v>
      </c>
      <c r="K678" s="48">
        <f>VLOOKUP($B674,[8]Complaints!$A$4:$AG$39,4,)</f>
        <v>0</v>
      </c>
      <c r="L678" s="48">
        <f>VLOOKUP($B674,[9]Complaints!$A$4:$AG$39,4,)</f>
        <v>0</v>
      </c>
      <c r="M678" s="48">
        <f>VLOOKUP($B674,[10]Complaints!$A$4:$AG$39,4,)</f>
        <v>0</v>
      </c>
      <c r="N678" s="48">
        <f>VLOOKUP($B674,[11]Complaints!$A$4:$AG$39,4,)</f>
        <v>0</v>
      </c>
      <c r="O678" s="49">
        <f>VLOOKUP($B674,[12]Complaints!$A$4:$AG$39,4,)</f>
        <v>0</v>
      </c>
      <c r="P678" s="55">
        <f t="shared" ref="P678" si="174">SUM(D678:O678)</f>
        <v>0</v>
      </c>
      <c r="Q678" s="50"/>
    </row>
    <row r="679" spans="2:19" ht="15.75" customHeight="1" x14ac:dyDescent="0.2">
      <c r="B679" s="26"/>
      <c r="C679" s="28" t="s">
        <v>98</v>
      </c>
      <c r="D679" s="51">
        <f>IF(D675=0,"",D678/D675)</f>
        <v>0</v>
      </c>
      <c r="E679" s="52">
        <f t="shared" ref="E679:O679" si="175">IF(E675=0,"",E678/E675)</f>
        <v>0</v>
      </c>
      <c r="F679" s="52">
        <f t="shared" si="175"/>
        <v>0</v>
      </c>
      <c r="G679" s="52">
        <f t="shared" si="175"/>
        <v>0</v>
      </c>
      <c r="H679" s="52">
        <f t="shared" si="175"/>
        <v>0</v>
      </c>
      <c r="I679" s="52">
        <f t="shared" si="175"/>
        <v>0</v>
      </c>
      <c r="J679" s="52">
        <f t="shared" si="175"/>
        <v>0</v>
      </c>
      <c r="K679" s="52">
        <f t="shared" si="175"/>
        <v>0</v>
      </c>
      <c r="L679" s="52">
        <f t="shared" si="175"/>
        <v>0</v>
      </c>
      <c r="M679" s="52">
        <f t="shared" si="175"/>
        <v>0</v>
      </c>
      <c r="N679" s="52" t="str">
        <f t="shared" si="175"/>
        <v/>
      </c>
      <c r="O679" s="53" t="str">
        <f t="shared" si="175"/>
        <v/>
      </c>
      <c r="P679" s="54">
        <f>IF(P678="","",P678/P675)</f>
        <v>0</v>
      </c>
      <c r="Q679" s="50"/>
      <c r="R679" s="18"/>
    </row>
    <row r="680" spans="2:19" ht="15.75" customHeight="1" x14ac:dyDescent="0.2">
      <c r="B680" s="155" t="s">
        <v>96</v>
      </c>
      <c r="C680" s="156"/>
      <c r="D680" s="47">
        <f>VLOOKUP($B674,[1]Complaints!$A$4:$AF$39,5,)</f>
        <v>1</v>
      </c>
      <c r="E680" s="48">
        <f>VLOOKUP($B674,[2]Complaints!$A$4:$AF$39,5,)</f>
        <v>0</v>
      </c>
      <c r="F680" s="48">
        <f>VLOOKUP($B674,[3]Complaints!$A$4:$AG$39,5,)</f>
        <v>0</v>
      </c>
      <c r="G680" s="48">
        <f>VLOOKUP($B674,[4]Complaints!$A$4:$AG$39,5,)</f>
        <v>0</v>
      </c>
      <c r="H680" s="48">
        <f>VLOOKUP($B674,[5]Complaints!$A$4:$AG$39,5,)</f>
        <v>0</v>
      </c>
      <c r="I680" s="48">
        <f>VLOOKUP($B674,[6]Complaints!$A$4:$AG$39,5,)</f>
        <v>2</v>
      </c>
      <c r="J680" s="48">
        <f>VLOOKUP($B674,[7]Complaints!$A$4:$AG$39,5,)</f>
        <v>0</v>
      </c>
      <c r="K680" s="48">
        <f>VLOOKUP($B674,[8]Complaints!$A$4:$AG$39,5,)</f>
        <v>0</v>
      </c>
      <c r="L680" s="48">
        <f>VLOOKUP($B674,[9]Complaints!$A$4:$AG$39,5,)</f>
        <v>2</v>
      </c>
      <c r="M680" s="48">
        <f>VLOOKUP($B674,[10]Complaints!$A$4:$AG$39,5,)</f>
        <v>0</v>
      </c>
      <c r="N680" s="48">
        <f>VLOOKUP($B674,[11]Complaints!$A$4:$AG$39,5,)</f>
        <v>0</v>
      </c>
      <c r="O680" s="49">
        <f>VLOOKUP($B674,[12]Complaints!$A$4:$AG$39,5,)</f>
        <v>0</v>
      </c>
      <c r="P680" s="55">
        <f t="shared" ref="P680" si="176">SUM(D680:O680)</f>
        <v>5</v>
      </c>
      <c r="Q680" s="50"/>
      <c r="R680" s="18"/>
    </row>
    <row r="681" spans="2:19" ht="15.75" customHeight="1" x14ac:dyDescent="0.2">
      <c r="B681" s="26"/>
      <c r="C681" s="28" t="s">
        <v>99</v>
      </c>
      <c r="D681" s="51">
        <f>IF(D675=0,"",D680/D675)</f>
        <v>6.2111801242236021E-3</v>
      </c>
      <c r="E681" s="52">
        <f t="shared" ref="E681:O681" si="177">IF(E675=0,"",E680/E675)</f>
        <v>0</v>
      </c>
      <c r="F681" s="52">
        <f t="shared" si="177"/>
        <v>0</v>
      </c>
      <c r="G681" s="52">
        <f t="shared" si="177"/>
        <v>0</v>
      </c>
      <c r="H681" s="52">
        <f t="shared" si="177"/>
        <v>0</v>
      </c>
      <c r="I681" s="52">
        <f t="shared" si="177"/>
        <v>3.5211267605633804E-3</v>
      </c>
      <c r="J681" s="52">
        <f t="shared" si="177"/>
        <v>0</v>
      </c>
      <c r="K681" s="52">
        <f t="shared" si="177"/>
        <v>0</v>
      </c>
      <c r="L681" s="52">
        <f t="shared" si="177"/>
        <v>3.8095238095238095E-3</v>
      </c>
      <c r="M681" s="52">
        <f t="shared" si="177"/>
        <v>0</v>
      </c>
      <c r="N681" s="52" t="str">
        <f t="shared" si="177"/>
        <v/>
      </c>
      <c r="O681" s="53" t="str">
        <f t="shared" si="177"/>
        <v/>
      </c>
      <c r="P681" s="54">
        <f>IF(P680="","",P680/P675)</f>
        <v>1.2201073694485115E-3</v>
      </c>
      <c r="Q681" s="50"/>
      <c r="R681" s="18"/>
    </row>
    <row r="682" spans="2:19" ht="15.75" customHeight="1" x14ac:dyDescent="0.2">
      <c r="B682" s="157" t="s">
        <v>97</v>
      </c>
      <c r="C682" s="156"/>
      <c r="D682" s="47">
        <f>VLOOKUP($B674,[1]Complaints!$A$4:$AF$39,6,)</f>
        <v>0</v>
      </c>
      <c r="E682" s="48">
        <f>VLOOKUP($B674,[2]Complaints!$A$4:$AF$39,6,)</f>
        <v>0</v>
      </c>
      <c r="F682" s="48">
        <f>VLOOKUP($B674,[3]Complaints!$A$4:$AG$39,6,)</f>
        <v>0</v>
      </c>
      <c r="G682" s="48">
        <f>VLOOKUP($B674,[4]Complaints!$A$4:$AG$39,6,)</f>
        <v>0</v>
      </c>
      <c r="H682" s="48">
        <f>VLOOKUP($B674,[5]Complaints!$A$4:$AG$39,6,)</f>
        <v>0</v>
      </c>
      <c r="I682" s="48">
        <f>VLOOKUP($B674,[6]Complaints!$A$4:$AG$39,6,)</f>
        <v>2</v>
      </c>
      <c r="J682" s="48">
        <f>VLOOKUP($B674,[7]Complaints!$A$4:$AG$39,6,)</f>
        <v>0</v>
      </c>
      <c r="K682" s="48">
        <f>VLOOKUP($B674,[8]Complaints!$A$4:$AG$39,6,)</f>
        <v>0</v>
      </c>
      <c r="L682" s="48">
        <f>VLOOKUP($B674,[9]Complaints!$A$4:$AG$39,6,)</f>
        <v>1</v>
      </c>
      <c r="M682" s="48">
        <f>VLOOKUP($B674,[10]Complaints!$A$4:$AG$39,6,)</f>
        <v>0</v>
      </c>
      <c r="N682" s="48">
        <f>VLOOKUP($B674,[11]Complaints!$A$4:$AG$39,6,)</f>
        <v>0</v>
      </c>
      <c r="O682" s="49">
        <f>VLOOKUP($B674,[12]Complaints!$A$4:$AG$39,6,)</f>
        <v>0</v>
      </c>
      <c r="P682" s="55">
        <f t="shared" ref="P682" si="178">SUM(D682:O682)</f>
        <v>3</v>
      </c>
      <c r="Q682" s="50"/>
      <c r="R682" s="18"/>
    </row>
    <row r="683" spans="2:19" ht="15.75" customHeight="1" thickBot="1" x14ac:dyDescent="0.25">
      <c r="B683" s="27"/>
      <c r="C683" s="29" t="s">
        <v>100</v>
      </c>
      <c r="D683" s="56" t="str">
        <f>IF(D682=0,"",D682/D680)</f>
        <v/>
      </c>
      <c r="E683" s="57" t="str">
        <f t="shared" ref="E683:H683" si="179">IF(E682=0,"",E682/E680)</f>
        <v/>
      </c>
      <c r="F683" s="57" t="str">
        <f t="shared" si="179"/>
        <v/>
      </c>
      <c r="G683" s="57" t="str">
        <f t="shared" si="179"/>
        <v/>
      </c>
      <c r="H683" s="57" t="str">
        <f t="shared" si="179"/>
        <v/>
      </c>
      <c r="I683" s="57">
        <f>IF(I682=0,"",I682/I680)</f>
        <v>1</v>
      </c>
      <c r="J683" s="57" t="str">
        <f t="shared" ref="J683:O683" si="180">IF(J682=0,"",J682/J680)</f>
        <v/>
      </c>
      <c r="K683" s="57" t="str">
        <f t="shared" si="180"/>
        <v/>
      </c>
      <c r="L683" s="57">
        <f t="shared" si="180"/>
        <v>0.5</v>
      </c>
      <c r="M683" s="57" t="str">
        <f t="shared" si="180"/>
        <v/>
      </c>
      <c r="N683" s="57" t="str">
        <f t="shared" si="180"/>
        <v/>
      </c>
      <c r="O683" s="58" t="str">
        <f t="shared" si="180"/>
        <v/>
      </c>
      <c r="P683" s="59">
        <f>IF(P682=0,"",P682/P680)</f>
        <v>0.6</v>
      </c>
      <c r="Q683" s="60"/>
      <c r="R683" s="18"/>
    </row>
    <row r="684" spans="2:19" ht="15.75" customHeight="1" x14ac:dyDescent="0.2">
      <c r="B684" s="168" t="s">
        <v>103</v>
      </c>
      <c r="C684" s="30" t="s">
        <v>77</v>
      </c>
      <c r="D684" s="61">
        <f>VLOOKUP($B674,[1]Complaints!$A$4:$AJ$39,7,)</f>
        <v>0</v>
      </c>
      <c r="E684" s="43">
        <f>VLOOKUP($B674,[2]Complaints!$A$4:$AJ$39,7,)</f>
        <v>0</v>
      </c>
      <c r="F684" s="43">
        <f>VLOOKUP($B674,[3]Complaints!$A$4:$AJ$39,7,)</f>
        <v>0</v>
      </c>
      <c r="G684" s="43">
        <f>VLOOKUP($B674,[4]Complaints!$A$4:$AJ$39,7,)</f>
        <v>0</v>
      </c>
      <c r="H684" s="43">
        <f>VLOOKUP($B674,[5]Complaints!$A$4:$AJ$39,7,)</f>
        <v>0</v>
      </c>
      <c r="I684" s="43">
        <f>VLOOKUP($B674,[6]Complaints!$A$4:$AJ$39,7,)</f>
        <v>0</v>
      </c>
      <c r="J684" s="43">
        <f>VLOOKUP($B674,[7]Complaints!$A$4:$AJ$39,7,)</f>
        <v>0</v>
      </c>
      <c r="K684" s="43">
        <f>VLOOKUP($B674,[8]Complaints!$A$4:$AJ$39,7,)</f>
        <v>0</v>
      </c>
      <c r="L684" s="43">
        <f>VLOOKUP($B674,[9]Complaints!$A$4:$AJ$39,7,)</f>
        <v>0</v>
      </c>
      <c r="M684" s="43">
        <f>VLOOKUP($B674,[10]Complaints!$A$4:$AJ$39,7,)</f>
        <v>0</v>
      </c>
      <c r="N684" s="43">
        <f>VLOOKUP($B674,[11]Complaints!$A$4:$AJ$39,7,)</f>
        <v>0</v>
      </c>
      <c r="O684" s="44">
        <f>VLOOKUP($B674,[12]Complaints!$A$4:$AJ$39,7,)</f>
        <v>0</v>
      </c>
      <c r="P684" s="45">
        <f>SUM(D684:O684)</f>
        <v>0</v>
      </c>
      <c r="Q684" s="46" t="str">
        <f>IF(P684=0,"",P684/$P676)</f>
        <v/>
      </c>
      <c r="R684" s="18"/>
    </row>
    <row r="685" spans="2:19" ht="15.75" customHeight="1" x14ac:dyDescent="0.2">
      <c r="B685" s="169"/>
      <c r="C685" s="31" t="s">
        <v>89</v>
      </c>
      <c r="D685" s="47">
        <f>VLOOKUP($B674,[1]Complaints!$A$4:$AJ$39,8,)</f>
        <v>1</v>
      </c>
      <c r="E685" s="48">
        <f>VLOOKUP($B674,[2]Complaints!$A$4:$AJ$39,8,)</f>
        <v>0</v>
      </c>
      <c r="F685" s="48">
        <f>VLOOKUP($B674,[3]Complaints!$A$4:$AJ$39,8,)</f>
        <v>0</v>
      </c>
      <c r="G685" s="48">
        <f>VLOOKUP($B674,[4]Complaints!$A$4:$AJ$39,8,)</f>
        <v>0</v>
      </c>
      <c r="H685" s="48">
        <f>VLOOKUP($B674,[5]Complaints!$A$4:$AJ$39,8,)</f>
        <v>0</v>
      </c>
      <c r="I685" s="48">
        <f>VLOOKUP($B674,[6]Complaints!$A$4:$AJ$39,8,)</f>
        <v>1</v>
      </c>
      <c r="J685" s="48">
        <f>VLOOKUP($B674,[7]Complaints!$A$4:$AJ$39,8,)</f>
        <v>0</v>
      </c>
      <c r="K685" s="48">
        <f>VLOOKUP($B674,[8]Complaints!$A$4:$AJ$39,8,)</f>
        <v>0</v>
      </c>
      <c r="L685" s="48">
        <f>VLOOKUP($B674,[9]Complaints!$A$4:$AJ$39,8,)</f>
        <v>1</v>
      </c>
      <c r="M685" s="48">
        <f>VLOOKUP($B674,[10]Complaints!$A$4:$AJ$39,8,)</f>
        <v>0</v>
      </c>
      <c r="N685" s="48">
        <f>VLOOKUP($B674,[11]Complaints!$A$4:$AJ$39,8,)</f>
        <v>0</v>
      </c>
      <c r="O685" s="49">
        <f>VLOOKUP($B674,[12]Complaints!$A$4:$AJ$39,8,)</f>
        <v>0</v>
      </c>
      <c r="P685" s="55">
        <f t="shared" ref="P685:P686" si="181">SUM(D685:O685)</f>
        <v>3</v>
      </c>
      <c r="Q685" s="50">
        <f>IF(P685="","",P685/$P676)</f>
        <v>0.6</v>
      </c>
      <c r="R685" s="18"/>
    </row>
    <row r="686" spans="2:19" ht="15.75" customHeight="1" x14ac:dyDescent="0.2">
      <c r="B686" s="169"/>
      <c r="C686" s="31" t="s">
        <v>88</v>
      </c>
      <c r="D686" s="47">
        <f>VLOOKUP($B674,[1]Complaints!$A$4:$AJ$39,9,)</f>
        <v>0</v>
      </c>
      <c r="E686" s="48">
        <f>VLOOKUP($B674,[2]Complaints!$A$4:$AJ$39,9,)</f>
        <v>0</v>
      </c>
      <c r="F686" s="48">
        <f>VLOOKUP($B674,[3]Complaints!$A$4:$AJ$39,9,)</f>
        <v>0</v>
      </c>
      <c r="G686" s="48">
        <f>VLOOKUP($B674,[4]Complaints!$A$4:$AJ$39,9,)</f>
        <v>0</v>
      </c>
      <c r="H686" s="48">
        <f>VLOOKUP($B674,[5]Complaints!$A$4:$AJ$39,9,)</f>
        <v>0</v>
      </c>
      <c r="I686" s="48">
        <f>VLOOKUP($B674,[6]Complaints!$A$4:$AJ$39,9,)</f>
        <v>0</v>
      </c>
      <c r="J686" s="48">
        <f>VLOOKUP($B674,[7]Complaints!$A$4:$AJ$39,9,)</f>
        <v>0</v>
      </c>
      <c r="K686" s="48">
        <f>VLOOKUP($B674,[8]Complaints!$A$4:$AJ$39,9,)</f>
        <v>0</v>
      </c>
      <c r="L686" s="48">
        <f>VLOOKUP($B674,[9]Complaints!$A$4:$AJ$39,9,)</f>
        <v>0</v>
      </c>
      <c r="M686" s="48">
        <f>VLOOKUP($B674,[10]Complaints!$A$4:$AJ$39,9,)</f>
        <v>0</v>
      </c>
      <c r="N686" s="48">
        <f>VLOOKUP($B674,[11]Complaints!$A$4:$AJ$39,9,)</f>
        <v>0</v>
      </c>
      <c r="O686" s="49">
        <f>VLOOKUP($B674,[12]Complaints!$A$4:$AJ$39,9,)</f>
        <v>0</v>
      </c>
      <c r="P686" s="55">
        <f t="shared" si="181"/>
        <v>0</v>
      </c>
      <c r="Q686" s="50" t="str">
        <f>IF(P686=0,"",P686/$P676)</f>
        <v/>
      </c>
      <c r="R686" s="18"/>
    </row>
    <row r="687" spans="2:19" ht="15.75" customHeight="1" x14ac:dyDescent="0.2">
      <c r="B687" s="169"/>
      <c r="C687" s="31" t="s">
        <v>13</v>
      </c>
      <c r="D687" s="47">
        <f>VLOOKUP($B674,[1]Complaints!$A$4:$AJ$39,10,)</f>
        <v>0</v>
      </c>
      <c r="E687" s="48">
        <f>VLOOKUP($B674,[2]Complaints!$A$4:$AJ$39,10,)</f>
        <v>0</v>
      </c>
      <c r="F687" s="48">
        <f>VLOOKUP($B674,[3]Complaints!$A$4:$AJ$39,10,)</f>
        <v>0</v>
      </c>
      <c r="G687" s="48">
        <f>VLOOKUP($B674,[4]Complaints!$A$4:$AJ$39,10,)</f>
        <v>0</v>
      </c>
      <c r="H687" s="48">
        <f>VLOOKUP($B674,[5]Complaints!$A$4:$AJ$39,10,)</f>
        <v>0</v>
      </c>
      <c r="I687" s="48">
        <f>VLOOKUP($B674,[6]Complaints!$A$4:$AJ$39,10,)</f>
        <v>0</v>
      </c>
      <c r="J687" s="48">
        <f>VLOOKUP($B674,[7]Complaints!$A$4:$AJ$39,10,)</f>
        <v>0</v>
      </c>
      <c r="K687" s="48">
        <f>VLOOKUP($B674,[8]Complaints!$A$4:$AJ$39,10,)</f>
        <v>0</v>
      </c>
      <c r="L687" s="48">
        <f>VLOOKUP($B674,[9]Complaints!$A$4:$AJ$39,10,)</f>
        <v>0</v>
      </c>
      <c r="M687" s="48">
        <f>VLOOKUP($B674,[10]Complaints!$A$4:$AJ$39,10,)</f>
        <v>0</v>
      </c>
      <c r="N687" s="48">
        <f>VLOOKUP($B674,[11]Complaints!$A$4:$AJ$39,10,)</f>
        <v>0</v>
      </c>
      <c r="O687" s="49">
        <f>VLOOKUP($B674,[12]Complaints!$A$4:$AJ$39,10,)</f>
        <v>0</v>
      </c>
      <c r="P687" s="55">
        <f>SUM(D687:O687)</f>
        <v>0</v>
      </c>
      <c r="Q687" s="50" t="str">
        <f>IF(P687=0,"",P687/$P676)</f>
        <v/>
      </c>
      <c r="R687" s="18"/>
    </row>
    <row r="688" spans="2:19" ht="15.75" customHeight="1" x14ac:dyDescent="0.2">
      <c r="B688" s="169"/>
      <c r="C688" s="31" t="s">
        <v>101</v>
      </c>
      <c r="D688" s="47">
        <f>VLOOKUP($B674,[1]Complaints!$A$4:$AJ$39,11,)</f>
        <v>0</v>
      </c>
      <c r="E688" s="48">
        <f>VLOOKUP($B674,[2]Complaints!$A$4:$AJ$39,11,)</f>
        <v>0</v>
      </c>
      <c r="F688" s="48">
        <f>VLOOKUP($B674,[3]Complaints!$A$4:$AJ$39,11,)</f>
        <v>0</v>
      </c>
      <c r="G688" s="48">
        <f>VLOOKUP($B674,[4]Complaints!$A$4:$AJ$39,11,)</f>
        <v>0</v>
      </c>
      <c r="H688" s="48">
        <f>VLOOKUP($B674,[5]Complaints!$A$4:$AJ$39,11,)</f>
        <v>0</v>
      </c>
      <c r="I688" s="48">
        <f>VLOOKUP($B674,[6]Complaints!$A$4:$AJ$39,11,)</f>
        <v>0</v>
      </c>
      <c r="J688" s="48">
        <f>VLOOKUP($B674,[7]Complaints!$A$4:$AJ$39,11,)</f>
        <v>0</v>
      </c>
      <c r="K688" s="48">
        <f>VLOOKUP($B674,[8]Complaints!$A$4:$AJ$39,11,)</f>
        <v>0</v>
      </c>
      <c r="L688" s="48">
        <f>VLOOKUP($B674,[9]Complaints!$A$4:$AJ$39,11,)</f>
        <v>0</v>
      </c>
      <c r="M688" s="48">
        <f>VLOOKUP($B674,[10]Complaints!$A$4:$AJ$39,11,)</f>
        <v>0</v>
      </c>
      <c r="N688" s="48">
        <f>VLOOKUP($B674,[11]Complaints!$A$4:$AJ$39,11,)</f>
        <v>0</v>
      </c>
      <c r="O688" s="49">
        <f>VLOOKUP($B674,[12]Complaints!$A$4:$AJ$39,11,)</f>
        <v>0</v>
      </c>
      <c r="P688" s="55">
        <f t="shared" ref="P688:P697" si="182">SUM(D688:O688)</f>
        <v>0</v>
      </c>
      <c r="Q688" s="50" t="str">
        <f>IF(P688=0,"",P688/$P676)</f>
        <v/>
      </c>
      <c r="R688" s="18"/>
    </row>
    <row r="689" spans="1:19" s="19" customFormat="1" ht="15.75" customHeight="1" x14ac:dyDescent="0.2">
      <c r="B689" s="169"/>
      <c r="C689" s="31" t="s">
        <v>93</v>
      </c>
      <c r="D689" s="47">
        <f>VLOOKUP($B674,[1]Complaints!$A$4:$AJ$39,12,)</f>
        <v>0</v>
      </c>
      <c r="E689" s="48">
        <f>VLOOKUP($B674,[2]Complaints!$A$4:$AJ$39,12,)</f>
        <v>0</v>
      </c>
      <c r="F689" s="48">
        <f>VLOOKUP($B674,[3]Complaints!$A$4:$AJ$39,12,)</f>
        <v>0</v>
      </c>
      <c r="G689" s="48">
        <f>VLOOKUP($B674,[4]Complaints!$A$4:$AJ$39,12,)</f>
        <v>0</v>
      </c>
      <c r="H689" s="48">
        <f>VLOOKUP($B674,[5]Complaints!$A$4:$AJ$39,12,)</f>
        <v>0</v>
      </c>
      <c r="I689" s="48">
        <f>VLOOKUP($B674,[6]Complaints!$A$4:$AJ$39,12,)</f>
        <v>0</v>
      </c>
      <c r="J689" s="48">
        <f>VLOOKUP($B674,[7]Complaints!$A$4:$AJ$39,12,)</f>
        <v>0</v>
      </c>
      <c r="K689" s="48">
        <f>VLOOKUP($B674,[8]Complaints!$A$4:$AJ$39,12,)</f>
        <v>0</v>
      </c>
      <c r="L689" s="48">
        <f>VLOOKUP($B674,[9]Complaints!$A$4:$AJ$39,12,)</f>
        <v>1</v>
      </c>
      <c r="M689" s="48">
        <f>VLOOKUP($B674,[10]Complaints!$A$4:$AJ$39,12,)</f>
        <v>0</v>
      </c>
      <c r="N689" s="48">
        <f>VLOOKUP($B674,[11]Complaints!$A$4:$AJ$39,12,)</f>
        <v>0</v>
      </c>
      <c r="O689" s="49">
        <f>VLOOKUP($B674,[12]Complaints!$A$4:$AJ$39,12,)</f>
        <v>0</v>
      </c>
      <c r="P689" s="55">
        <f t="shared" si="182"/>
        <v>1</v>
      </c>
      <c r="Q689" s="50">
        <f>IF(P689=0,"",P689/$P676)</f>
        <v>0.2</v>
      </c>
    </row>
    <row r="690" spans="1:19" ht="15.75" customHeight="1" x14ac:dyDescent="0.2">
      <c r="B690" s="169"/>
      <c r="C690" s="31" t="s">
        <v>78</v>
      </c>
      <c r="D690" s="47">
        <f>VLOOKUP($B674,[1]Complaints!$A$4:$AJ$39,13,)</f>
        <v>0</v>
      </c>
      <c r="E690" s="48">
        <f>VLOOKUP($B674,[2]Complaints!$A$4:$AJ$39,13,)</f>
        <v>0</v>
      </c>
      <c r="F690" s="48">
        <f>VLOOKUP($B674,[3]Complaints!$A$4:$AJ$39,13,)</f>
        <v>0</v>
      </c>
      <c r="G690" s="48">
        <f>VLOOKUP($B674,[4]Complaints!$A$4:$AJ$39,13,)</f>
        <v>0</v>
      </c>
      <c r="H690" s="48">
        <f>VLOOKUP($B674,[5]Complaints!$A$4:$AJ$39,13,)</f>
        <v>0</v>
      </c>
      <c r="I690" s="48">
        <f>VLOOKUP($B674,[6]Complaints!$A$4:$AJ$39,13,)</f>
        <v>0</v>
      </c>
      <c r="J690" s="48">
        <f>VLOOKUP($B674,[7]Complaints!$A$4:$AJ$39,13,)</f>
        <v>0</v>
      </c>
      <c r="K690" s="48">
        <f>VLOOKUP($B674,[8]Complaints!$A$4:$AJ$39,13,)</f>
        <v>0</v>
      </c>
      <c r="L690" s="48">
        <f>VLOOKUP($B674,[9]Complaints!$A$4:$AJ$39,13,)</f>
        <v>0</v>
      </c>
      <c r="M690" s="48">
        <f>VLOOKUP($B674,[10]Complaints!$A$4:$AJ$39,13,)</f>
        <v>0</v>
      </c>
      <c r="N690" s="48">
        <f>VLOOKUP($B674,[11]Complaints!$A$4:$AJ$39,13,)</f>
        <v>0</v>
      </c>
      <c r="O690" s="49">
        <f>VLOOKUP($B674,[12]Complaints!$A$4:$AJ$39,13,)</f>
        <v>0</v>
      </c>
      <c r="P690" s="55">
        <f t="shared" si="182"/>
        <v>0</v>
      </c>
      <c r="Q690" s="50" t="str">
        <f>IF(P690=0,"",P690/$P676)</f>
        <v/>
      </c>
      <c r="R690" s="18"/>
    </row>
    <row r="691" spans="1:19" ht="15.75" customHeight="1" x14ac:dyDescent="0.2">
      <c r="B691" s="169"/>
      <c r="C691" s="31" t="s">
        <v>92</v>
      </c>
      <c r="D691" s="47">
        <f>VLOOKUP($B674,[1]Complaints!$A$4:$AJ$39,14,)</f>
        <v>0</v>
      </c>
      <c r="E691" s="48">
        <f>VLOOKUP($B674,[2]Complaints!$A$4:$AJ$39,14,)</f>
        <v>0</v>
      </c>
      <c r="F691" s="48">
        <f>VLOOKUP($B674,[3]Complaints!$A$4:$AJ$39,14,)</f>
        <v>0</v>
      </c>
      <c r="G691" s="48">
        <f>VLOOKUP($B674,[4]Complaints!$A$4:$AJ$39,14,)</f>
        <v>0</v>
      </c>
      <c r="H691" s="48">
        <f>VLOOKUP($B674,[5]Complaints!$A$4:$AJ$39,14,)</f>
        <v>0</v>
      </c>
      <c r="I691" s="48">
        <f>VLOOKUP($B674,[6]Complaints!$A$4:$AJ$39,14,)</f>
        <v>0</v>
      </c>
      <c r="J691" s="48">
        <f>VLOOKUP($B674,[7]Complaints!$A$4:$AJ$39,14,)</f>
        <v>0</v>
      </c>
      <c r="K691" s="48">
        <f>VLOOKUP($B674,[8]Complaints!$A$4:$AJ$39,14,)</f>
        <v>0</v>
      </c>
      <c r="L691" s="48">
        <f>VLOOKUP($B674,[9]Complaints!$A$4:$AJ$39,14,)</f>
        <v>0</v>
      </c>
      <c r="M691" s="48">
        <f>VLOOKUP($B674,[10]Complaints!$A$4:$AJ$39,14,)</f>
        <v>0</v>
      </c>
      <c r="N691" s="48">
        <f>VLOOKUP($B674,[11]Complaints!$A$4:$AJ$39,14,)</f>
        <v>0</v>
      </c>
      <c r="O691" s="49">
        <f>VLOOKUP($B674,[12]Complaints!$A$4:$AJ$39,14,)</f>
        <v>0</v>
      </c>
      <c r="P691" s="55">
        <f t="shared" si="182"/>
        <v>0</v>
      </c>
      <c r="Q691" s="50" t="str">
        <f>IF(P691=0,"",P691/$P676)</f>
        <v/>
      </c>
      <c r="R691" s="18"/>
    </row>
    <row r="692" spans="1:19" ht="15.75" customHeight="1" x14ac:dyDescent="0.2">
      <c r="B692" s="169"/>
      <c r="C692" s="31" t="s">
        <v>91</v>
      </c>
      <c r="D692" s="47">
        <f>VLOOKUP($B674,[1]Complaints!$A$4:$AJ$39,15,)</f>
        <v>0</v>
      </c>
      <c r="E692" s="48">
        <f>VLOOKUP($B674,[2]Complaints!$A$4:$AJ$39,15,)</f>
        <v>0</v>
      </c>
      <c r="F692" s="48">
        <f>VLOOKUP($B674,[3]Complaints!$A$4:$AJ$39,15,)</f>
        <v>0</v>
      </c>
      <c r="G692" s="48">
        <f>VLOOKUP($B674,[4]Complaints!$A$4:$AJ$39,15,)</f>
        <v>0</v>
      </c>
      <c r="H692" s="48">
        <f>VLOOKUP($B674,[5]Complaints!$A$4:$AJ$39,15,)</f>
        <v>0</v>
      </c>
      <c r="I692" s="48">
        <f>VLOOKUP($B674,[6]Complaints!$A$4:$AJ$39,15,)</f>
        <v>1</v>
      </c>
      <c r="J692" s="48">
        <f>VLOOKUP($B674,[7]Complaints!$A$4:$AJ$39,15,)</f>
        <v>0</v>
      </c>
      <c r="K692" s="48">
        <f>VLOOKUP($B674,[8]Complaints!$A$4:$AJ$39,15,)</f>
        <v>0</v>
      </c>
      <c r="L692" s="48">
        <f>VLOOKUP($B674,[9]Complaints!$A$4:$AJ$39,15,)</f>
        <v>0</v>
      </c>
      <c r="M692" s="48">
        <f>VLOOKUP($B674,[10]Complaints!$A$4:$AJ$39,15,)</f>
        <v>0</v>
      </c>
      <c r="N692" s="48">
        <f>VLOOKUP($B674,[11]Complaints!$A$4:$AJ$39,15,)</f>
        <v>0</v>
      </c>
      <c r="O692" s="49">
        <f>VLOOKUP($B674,[12]Complaints!$A$4:$AJ$39,15,)</f>
        <v>0</v>
      </c>
      <c r="P692" s="55">
        <f t="shared" si="182"/>
        <v>1</v>
      </c>
      <c r="Q692" s="50">
        <f>IF(P692=0,"",P692/$P676)</f>
        <v>0.2</v>
      </c>
      <c r="R692" s="18"/>
    </row>
    <row r="693" spans="1:19" ht="15.75" customHeight="1" x14ac:dyDescent="0.2">
      <c r="B693" s="169"/>
      <c r="C693" s="31" t="s">
        <v>79</v>
      </c>
      <c r="D693" s="47">
        <f>VLOOKUP($B674,[1]Complaints!$A$4:$AJ$39,16,)</f>
        <v>0</v>
      </c>
      <c r="E693" s="48">
        <f>VLOOKUP($B674,[2]Complaints!$A$4:$AJ$39,16,)</f>
        <v>0</v>
      </c>
      <c r="F693" s="48">
        <f>VLOOKUP($B674,[3]Complaints!$A$4:$AJ$39,16,)</f>
        <v>0</v>
      </c>
      <c r="G693" s="48">
        <f>VLOOKUP($B674,[4]Complaints!$A$4:$AJ$39,16,)</f>
        <v>0</v>
      </c>
      <c r="H693" s="48">
        <f>VLOOKUP($B674,[5]Complaints!$A$4:$AJ$39,16,)</f>
        <v>0</v>
      </c>
      <c r="I693" s="48">
        <f>VLOOKUP($B674,[6]Complaints!$A$4:$AJ$39,16,)</f>
        <v>0</v>
      </c>
      <c r="J693" s="48">
        <f>VLOOKUP($B674,[7]Complaints!$A$4:$AJ$39,16,)</f>
        <v>0</v>
      </c>
      <c r="K693" s="48">
        <f>VLOOKUP($B674,[8]Complaints!$A$4:$AJ$39,16,)</f>
        <v>0</v>
      </c>
      <c r="L693" s="48">
        <f>VLOOKUP($B674,[9]Complaints!$A$4:$AJ$39,16,)</f>
        <v>0</v>
      </c>
      <c r="M693" s="48">
        <f>VLOOKUP($B674,[10]Complaints!$A$4:$AJ$39,16,)</f>
        <v>0</v>
      </c>
      <c r="N693" s="48">
        <f>VLOOKUP($B674,[11]Complaints!$A$4:$AJ$39,16,)</f>
        <v>0</v>
      </c>
      <c r="O693" s="49">
        <f>VLOOKUP($B674,[12]Complaints!$A$4:$AJ$39,16,)</f>
        <v>0</v>
      </c>
      <c r="P693" s="55">
        <f t="shared" si="182"/>
        <v>0</v>
      </c>
      <c r="Q693" s="50" t="str">
        <f>IF(P693=0,"",P693/$P676)</f>
        <v/>
      </c>
      <c r="R693" s="18"/>
    </row>
    <row r="694" spans="1:19" ht="15.75" customHeight="1" x14ac:dyDescent="0.2">
      <c r="B694" s="169"/>
      <c r="C694" s="31" t="s">
        <v>80</v>
      </c>
      <c r="D694" s="47">
        <f>VLOOKUP($B674,[1]Complaints!$A$4:$AJ$39,17,)</f>
        <v>0</v>
      </c>
      <c r="E694" s="48">
        <f>VLOOKUP($B674,[2]Complaints!$A$4:$AJ$39,17,)</f>
        <v>0</v>
      </c>
      <c r="F694" s="48">
        <f>VLOOKUP($B674,[3]Complaints!$A$4:$AJ$39,17,)</f>
        <v>0</v>
      </c>
      <c r="G694" s="48">
        <f>VLOOKUP($B674,[4]Complaints!$A$4:$AJ$39,17,)</f>
        <v>0</v>
      </c>
      <c r="H694" s="48">
        <f>VLOOKUP($B674,[5]Complaints!$A$4:$AJ$39,17,)</f>
        <v>0</v>
      </c>
      <c r="I694" s="48">
        <f>VLOOKUP($B674,[6]Complaints!$A$4:$AJ$39,17,)</f>
        <v>0</v>
      </c>
      <c r="J694" s="48">
        <f>VLOOKUP($B674,[7]Complaints!$A$4:$AJ$39,17,)</f>
        <v>0</v>
      </c>
      <c r="K694" s="48">
        <f>VLOOKUP($B674,[8]Complaints!$A$4:$AJ$39,17,)</f>
        <v>0</v>
      </c>
      <c r="L694" s="48">
        <f>VLOOKUP($B674,[9]Complaints!$A$4:$AJ$39,17,)</f>
        <v>0</v>
      </c>
      <c r="M694" s="48">
        <f>VLOOKUP($B674,[10]Complaints!$A$4:$AJ$39,17,)</f>
        <v>0</v>
      </c>
      <c r="N694" s="48">
        <f>VLOOKUP($B674,[11]Complaints!$A$4:$AJ$39,17,)</f>
        <v>0</v>
      </c>
      <c r="O694" s="49">
        <f>VLOOKUP($B674,[12]Complaints!$A$4:$AJ$39,17,)</f>
        <v>0</v>
      </c>
      <c r="P694" s="55">
        <f t="shared" si="182"/>
        <v>0</v>
      </c>
      <c r="Q694" s="50" t="str">
        <f>IF(P694=0,"",P694/$P676)</f>
        <v/>
      </c>
      <c r="R694" s="18"/>
    </row>
    <row r="695" spans="1:19" ht="15.75" customHeight="1" x14ac:dyDescent="0.2">
      <c r="B695" s="169"/>
      <c r="C695" s="31" t="s">
        <v>81</v>
      </c>
      <c r="D695" s="47">
        <f>VLOOKUP($B674,[1]Complaints!$A$4:$AJ$39,18,)</f>
        <v>0</v>
      </c>
      <c r="E695" s="48">
        <f>VLOOKUP($B674,[2]Complaints!$A$4:$AJ$39,18,)</f>
        <v>0</v>
      </c>
      <c r="F695" s="48">
        <f>VLOOKUP($B674,[3]Complaints!$A$4:$AJ$39,18,)</f>
        <v>0</v>
      </c>
      <c r="G695" s="48">
        <f>VLOOKUP($B674,[4]Complaints!$A$4:$AJ$39,18,)</f>
        <v>0</v>
      </c>
      <c r="H695" s="48">
        <f>VLOOKUP($B674,[5]Complaints!$A$4:$AJ$39,18,)</f>
        <v>0</v>
      </c>
      <c r="I695" s="48">
        <f>VLOOKUP($B674,[6]Complaints!$A$4:$AJ$39,18,)</f>
        <v>0</v>
      </c>
      <c r="J695" s="48">
        <f>VLOOKUP($B674,[7]Complaints!$A$4:$AJ$39,18,)</f>
        <v>0</v>
      </c>
      <c r="K695" s="48">
        <f>VLOOKUP($B674,[8]Complaints!$A$4:$AJ$39,18,)</f>
        <v>0</v>
      </c>
      <c r="L695" s="48">
        <f>VLOOKUP($B674,[9]Complaints!$A$4:$AJ$39,18,)</f>
        <v>0</v>
      </c>
      <c r="M695" s="48">
        <f>VLOOKUP($B674,[10]Complaints!$A$4:$AJ$39,18,)</f>
        <v>0</v>
      </c>
      <c r="N695" s="48">
        <f>VLOOKUP($B674,[11]Complaints!$A$4:$AJ$39,18,)</f>
        <v>0</v>
      </c>
      <c r="O695" s="49">
        <f>VLOOKUP($B674,[12]Complaints!$A$4:$AJ$39,18,)</f>
        <v>0</v>
      </c>
      <c r="P695" s="55">
        <f t="shared" si="182"/>
        <v>0</v>
      </c>
      <c r="Q695" s="50" t="str">
        <f>IF(P695=0,"",P695/$P676)</f>
        <v/>
      </c>
      <c r="R695" s="18"/>
    </row>
    <row r="696" spans="1:19" ht="15.75" customHeight="1" x14ac:dyDescent="0.2">
      <c r="B696" s="169"/>
      <c r="C696" s="31" t="s">
        <v>82</v>
      </c>
      <c r="D696" s="47">
        <f>VLOOKUP($B674,[1]Complaints!$A$4:$AJ$39,19,)</f>
        <v>0</v>
      </c>
      <c r="E696" s="48">
        <f>VLOOKUP($B674,[2]Complaints!$A$4:$AJ$39,19,)</f>
        <v>0</v>
      </c>
      <c r="F696" s="48">
        <f>VLOOKUP($B674,[3]Complaints!$A$4:$AJ$39,19,)</f>
        <v>0</v>
      </c>
      <c r="G696" s="48">
        <f>VLOOKUP($B674,[4]Complaints!$A$4:$AJ$39,19,)</f>
        <v>0</v>
      </c>
      <c r="H696" s="48">
        <f>VLOOKUP($B674,[5]Complaints!$A$4:$AJ$39,19,)</f>
        <v>0</v>
      </c>
      <c r="I696" s="48">
        <f>VLOOKUP($B674,[6]Complaints!$A$4:$AJ$39,19,)</f>
        <v>0</v>
      </c>
      <c r="J696" s="48">
        <f>VLOOKUP($B674,[7]Complaints!$A$4:$AJ$39,19,)</f>
        <v>0</v>
      </c>
      <c r="K696" s="48">
        <f>VLOOKUP($B674,[8]Complaints!$A$4:$AJ$39,19,)</f>
        <v>0</v>
      </c>
      <c r="L696" s="48">
        <f>VLOOKUP($B674,[9]Complaints!$A$4:$AJ$39,19,)</f>
        <v>0</v>
      </c>
      <c r="M696" s="48">
        <f>VLOOKUP($B674,[10]Complaints!$A$4:$AJ$39,19,)</f>
        <v>0</v>
      </c>
      <c r="N696" s="48">
        <f>VLOOKUP($B674,[11]Complaints!$A$4:$AJ$39,19,)</f>
        <v>0</v>
      </c>
      <c r="O696" s="49">
        <f>VLOOKUP($B674,[12]Complaints!$A$4:$AJ$39,19,)</f>
        <v>0</v>
      </c>
      <c r="P696" s="55">
        <f t="shared" si="182"/>
        <v>0</v>
      </c>
      <c r="Q696" s="50" t="str">
        <f>IF(P696=0,"",P696/$P676)</f>
        <v/>
      </c>
      <c r="R696" s="18"/>
    </row>
    <row r="697" spans="1:19" ht="15.75" customHeight="1" thickBot="1" x14ac:dyDescent="0.25">
      <c r="B697" s="170"/>
      <c r="C697" s="31" t="s">
        <v>83</v>
      </c>
      <c r="D697" s="47">
        <f>VLOOKUP($B674,[1]Complaints!$A$4:$AJ$39,20,)</f>
        <v>0</v>
      </c>
      <c r="E697" s="48">
        <f>VLOOKUP($B674,[2]Complaints!$A$4:$AJ$39,20,)</f>
        <v>0</v>
      </c>
      <c r="F697" s="48">
        <f>VLOOKUP($B674,[3]Complaints!$A$4:$AJ$39,20,)</f>
        <v>0</v>
      </c>
      <c r="G697" s="48">
        <f>VLOOKUP($B674,[4]Complaints!$A$4:$AJ$39,20,)</f>
        <v>0</v>
      </c>
      <c r="H697" s="48">
        <f>VLOOKUP($B674,[5]Complaints!$A$4:$AJ$39,20,)</f>
        <v>0</v>
      </c>
      <c r="I697" s="48">
        <f>VLOOKUP($B674,[6]Complaints!$A$4:$AJ$39,20,)</f>
        <v>0</v>
      </c>
      <c r="J697" s="48">
        <f>VLOOKUP($B674,[7]Complaints!$A$4:$AJ$39,20,)</f>
        <v>0</v>
      </c>
      <c r="K697" s="48">
        <f>VLOOKUP($B674,[8]Complaints!$A$4:$AJ$39,20,)</f>
        <v>0</v>
      </c>
      <c r="L697" s="48">
        <f>VLOOKUP($B674,[9]Complaints!$A$4:$AJ$39,20,)</f>
        <v>0</v>
      </c>
      <c r="M697" s="48">
        <f>VLOOKUP($B674,[10]Complaints!$A$4:$AJ$39,20,)</f>
        <v>0</v>
      </c>
      <c r="N697" s="48">
        <f>VLOOKUP($B674,[11]Complaints!$A$4:$AJ$39,20,)</f>
        <v>0</v>
      </c>
      <c r="O697" s="49">
        <f>VLOOKUP($B674,[12]Complaints!$A$4:$AJ$39,20,)</f>
        <v>0</v>
      </c>
      <c r="P697" s="55">
        <f t="shared" si="182"/>
        <v>0</v>
      </c>
      <c r="Q697" s="50" t="str">
        <f>IF(P697=0,"",P697/$P676)</f>
        <v/>
      </c>
      <c r="R697" s="18"/>
    </row>
    <row r="698" spans="1:19" ht="15.75" customHeight="1" x14ac:dyDescent="0.2">
      <c r="B698" s="144" t="s">
        <v>90</v>
      </c>
      <c r="C698" s="37" t="s">
        <v>118</v>
      </c>
      <c r="D698" s="62">
        <f>VLOOKUP($B674,[1]Complaints!$A$4:$AJ$39,21,)</f>
        <v>0</v>
      </c>
      <c r="E698" s="63">
        <f>VLOOKUP($B674,[2]Complaints!$A$4:$AJ$39,21,)</f>
        <v>0</v>
      </c>
      <c r="F698" s="63">
        <f>VLOOKUP($B674,[3]Complaints!$A$4:$AJ$39,21,)</f>
        <v>0</v>
      </c>
      <c r="G698" s="63">
        <f>VLOOKUP($B674,[4]Complaints!$A$4:$AJ$39,21,)</f>
        <v>0</v>
      </c>
      <c r="H698" s="63">
        <f>VLOOKUP($B674,[5]Complaints!$A$4:$AJ$39,21,)</f>
        <v>0</v>
      </c>
      <c r="I698" s="63">
        <f>VLOOKUP($B674,[6]Complaints!$A$4:$AJ$39,21,)</f>
        <v>1</v>
      </c>
      <c r="J698" s="63">
        <f>VLOOKUP($B674,[7]Complaints!$A$4:$AJ$39,21,)</f>
        <v>0</v>
      </c>
      <c r="K698" s="63">
        <f>VLOOKUP($B674,[8]Complaints!$A$4:$AJ$39,21,)</f>
        <v>0</v>
      </c>
      <c r="L698" s="63">
        <f>VLOOKUP($B674,[9]Complaints!$A$4:$AJ$39,21,)</f>
        <v>1</v>
      </c>
      <c r="M698" s="63">
        <f>VLOOKUP($B674,[10]Complaints!$A$4:$AJ$39,21,)</f>
        <v>0</v>
      </c>
      <c r="N698" s="63">
        <f>VLOOKUP($B674,[11]Complaints!$A$4:$AJ$39,21,)</f>
        <v>0</v>
      </c>
      <c r="O698" s="64">
        <f>VLOOKUP($B674,[12]Complaints!$A$4:$AJ$39,21,)</f>
        <v>0</v>
      </c>
      <c r="P698" s="65">
        <f>SUM(D698:O698)</f>
        <v>2</v>
      </c>
      <c r="Q698" s="46">
        <f>IF(P698=0,"",P698/$P682)</f>
        <v>0.66666666666666663</v>
      </c>
      <c r="R698" s="18"/>
    </row>
    <row r="699" spans="1:19" ht="15.75" customHeight="1" x14ac:dyDescent="0.2">
      <c r="B699" s="145"/>
      <c r="C699" s="38" t="s">
        <v>77</v>
      </c>
      <c r="D699" s="66">
        <f>VLOOKUP($B674,[1]Complaints!$A$4:$AJ$39,22,)</f>
        <v>0</v>
      </c>
      <c r="E699" s="67">
        <f>VLOOKUP($B674,[2]Complaints!$A$4:$AJ$39,22,)</f>
        <v>0</v>
      </c>
      <c r="F699" s="67">
        <f>VLOOKUP($B674,[3]Complaints!$A$4:$AJ$39,22,)</f>
        <v>0</v>
      </c>
      <c r="G699" s="67">
        <f>VLOOKUP($B674,[4]Complaints!$A$4:$AJ$39,22,)</f>
        <v>0</v>
      </c>
      <c r="H699" s="67">
        <f>VLOOKUP($B674,[5]Complaints!$A$4:$AJ$39,22,)</f>
        <v>0</v>
      </c>
      <c r="I699" s="67">
        <f>VLOOKUP($B674,[6]Complaints!$A$4:$AJ$39,22,)</f>
        <v>0</v>
      </c>
      <c r="J699" s="67">
        <f>VLOOKUP($B674,[7]Complaints!$A$4:$AJ$39,22,)</f>
        <v>0</v>
      </c>
      <c r="K699" s="67">
        <f>VLOOKUP($B674,[8]Complaints!$A$4:$AJ$39,22,)</f>
        <v>0</v>
      </c>
      <c r="L699" s="67">
        <f>VLOOKUP($B674,[9]Complaints!$A$4:$AJ$39,22,)</f>
        <v>0</v>
      </c>
      <c r="M699" s="67">
        <f>VLOOKUP($B674,[10]Complaints!$A$4:$AJ$39,22,)</f>
        <v>0</v>
      </c>
      <c r="N699" s="67">
        <f>VLOOKUP($B674,[11]Complaints!$A$4:$AJ$39,22,)</f>
        <v>0</v>
      </c>
      <c r="O699" s="68">
        <f>VLOOKUP($B674,[12]Complaints!$A$4:$AJ$39,22,)</f>
        <v>0</v>
      </c>
      <c r="P699" s="69">
        <f t="shared" ref="P699:P713" si="183">SUM(D699:O699)</f>
        <v>0</v>
      </c>
      <c r="Q699" s="70" t="str">
        <f>IF(P699=0,"",P699/$P682)</f>
        <v/>
      </c>
      <c r="R699" s="18"/>
    </row>
    <row r="700" spans="1:19" ht="15.75" customHeight="1" x14ac:dyDescent="0.2">
      <c r="B700" s="145"/>
      <c r="C700" s="38" t="s">
        <v>108</v>
      </c>
      <c r="D700" s="66">
        <f>VLOOKUP($B674,[1]Complaints!$A$4:$AJ$39,23,)</f>
        <v>0</v>
      </c>
      <c r="E700" s="67">
        <f>VLOOKUP($B674,[2]Complaints!$A$4:$AJ$39,23,)</f>
        <v>0</v>
      </c>
      <c r="F700" s="67">
        <f>VLOOKUP($B674,[3]Complaints!$A$4:$AJ$39,23,)</f>
        <v>0</v>
      </c>
      <c r="G700" s="67">
        <f>VLOOKUP($B674,[4]Complaints!$A$4:$AJ$39,23,)</f>
        <v>0</v>
      </c>
      <c r="H700" s="67">
        <f>VLOOKUP($B674,[5]Complaints!$A$4:$AJ$39,23,)</f>
        <v>0</v>
      </c>
      <c r="I700" s="67">
        <f>VLOOKUP($B674,[6]Complaints!$A$4:$AJ$39,23,)</f>
        <v>1</v>
      </c>
      <c r="J700" s="67">
        <f>VLOOKUP($B674,[7]Complaints!$A$4:$AJ$39,23,)</f>
        <v>0</v>
      </c>
      <c r="K700" s="67">
        <f>VLOOKUP($B674,[8]Complaints!$A$4:$AJ$39,23,)</f>
        <v>0</v>
      </c>
      <c r="L700" s="67">
        <f>VLOOKUP($B674,[9]Complaints!$A$4:$AJ$39,23,)</f>
        <v>1</v>
      </c>
      <c r="M700" s="67">
        <f>VLOOKUP($B674,[10]Complaints!$A$4:$AJ$39,23,)</f>
        <v>0</v>
      </c>
      <c r="N700" s="67">
        <f>VLOOKUP($B674,[11]Complaints!$A$4:$AJ$39,23,)</f>
        <v>0</v>
      </c>
      <c r="O700" s="68">
        <f>VLOOKUP($B674,[12]Complaints!$A$4:$AJ$39,23,)</f>
        <v>0</v>
      </c>
      <c r="P700" s="69">
        <f t="shared" si="183"/>
        <v>2</v>
      </c>
      <c r="Q700" s="70">
        <f>IF(P700=0,"",P700/$P682)</f>
        <v>0.66666666666666663</v>
      </c>
      <c r="R700" s="18"/>
    </row>
    <row r="701" spans="1:19" ht="15.75" customHeight="1" x14ac:dyDescent="0.2">
      <c r="B701" s="145"/>
      <c r="C701" s="38" t="s">
        <v>88</v>
      </c>
      <c r="D701" s="66">
        <f>VLOOKUP($B674,[1]Complaints!$A$4:$AJ$39,24,)</f>
        <v>0</v>
      </c>
      <c r="E701" s="67">
        <f>VLOOKUP($B674,[2]Complaints!$A$4:$AJ$39,24,)</f>
        <v>0</v>
      </c>
      <c r="F701" s="67">
        <f>VLOOKUP($B674,[3]Complaints!$A$4:$AJ$39,24,)</f>
        <v>0</v>
      </c>
      <c r="G701" s="67">
        <f>VLOOKUP($B674,[4]Complaints!$A$4:$AJ$39,24,)</f>
        <v>0</v>
      </c>
      <c r="H701" s="67">
        <f>VLOOKUP($B674,[5]Complaints!$A$4:$AJ$39,24,)</f>
        <v>0</v>
      </c>
      <c r="I701" s="67">
        <f>VLOOKUP($B674,[6]Complaints!$A$4:$AJ$39,24,)</f>
        <v>0</v>
      </c>
      <c r="J701" s="67">
        <f>VLOOKUP($B674,[7]Complaints!$A$4:$AJ$39,24,)</f>
        <v>0</v>
      </c>
      <c r="K701" s="67">
        <f>VLOOKUP($B674,[8]Complaints!$A$4:$AJ$39,24,)</f>
        <v>0</v>
      </c>
      <c r="L701" s="67">
        <f>VLOOKUP($B674,[9]Complaints!$A$4:$AJ$39,24,)</f>
        <v>0</v>
      </c>
      <c r="M701" s="67">
        <f>VLOOKUP($B674,[10]Complaints!$A$4:$AJ$39,24,)</f>
        <v>0</v>
      </c>
      <c r="N701" s="67">
        <f>VLOOKUP($B674,[11]Complaints!$A$4:$AJ$39,24,)</f>
        <v>0</v>
      </c>
      <c r="O701" s="68">
        <f>VLOOKUP($B674,[12]Complaints!$A$4:$AJ$39,24,)</f>
        <v>0</v>
      </c>
      <c r="P701" s="69">
        <f t="shared" si="183"/>
        <v>0</v>
      </c>
      <c r="Q701" s="70" t="str">
        <f>IF(P701=0,"",P701/$P682)</f>
        <v/>
      </c>
      <c r="R701" s="18"/>
    </row>
    <row r="702" spans="1:19" ht="15.75" customHeight="1" x14ac:dyDescent="0.2">
      <c r="B702" s="145"/>
      <c r="C702" s="38" t="s">
        <v>109</v>
      </c>
      <c r="D702" s="66">
        <f>VLOOKUP($B674,[1]Complaints!$A$4:$AJ$39,25,)</f>
        <v>0</v>
      </c>
      <c r="E702" s="67">
        <f>VLOOKUP($B674,[2]Complaints!$A$4:$AJ$39,25,)</f>
        <v>0</v>
      </c>
      <c r="F702" s="67">
        <f>VLOOKUP($B674,[3]Complaints!$A$4:$AJ$39,25,)</f>
        <v>0</v>
      </c>
      <c r="G702" s="67">
        <f>VLOOKUP($B674,[4]Complaints!$A$4:$AJ$39,25,)</f>
        <v>0</v>
      </c>
      <c r="H702" s="67">
        <f>VLOOKUP($B674,[5]Complaints!$A$4:$AJ$39,25,)</f>
        <v>0</v>
      </c>
      <c r="I702" s="67">
        <f>VLOOKUP($B674,[6]Complaints!$A$4:$AJ$39,25,)</f>
        <v>0</v>
      </c>
      <c r="J702" s="67">
        <f>VLOOKUP($B674,[7]Complaints!$A$4:$AJ$39,25,)</f>
        <v>0</v>
      </c>
      <c r="K702" s="67">
        <f>VLOOKUP($B674,[8]Complaints!$A$4:$AJ$39,25,)</f>
        <v>0</v>
      </c>
      <c r="L702" s="67">
        <f>VLOOKUP($B674,[9]Complaints!$A$4:$AJ$39,25,)</f>
        <v>0</v>
      </c>
      <c r="M702" s="67">
        <f>VLOOKUP($B674,[10]Complaints!$A$4:$AJ$39,25,)</f>
        <v>0</v>
      </c>
      <c r="N702" s="67">
        <f>VLOOKUP($B674,[11]Complaints!$A$4:$AJ$39,25,)</f>
        <v>0</v>
      </c>
      <c r="O702" s="68">
        <f>VLOOKUP($B674,[12]Complaints!$A$4:$AJ$39,25,)</f>
        <v>0</v>
      </c>
      <c r="P702" s="69">
        <f t="shared" si="183"/>
        <v>0</v>
      </c>
      <c r="Q702" s="70" t="str">
        <f>IF(P702=0,"",P702/$P682)</f>
        <v/>
      </c>
      <c r="R702" s="18"/>
    </row>
    <row r="703" spans="1:19" ht="15.75" customHeight="1" x14ac:dyDescent="0.2">
      <c r="A703" s="21"/>
      <c r="B703" s="145"/>
      <c r="C703" s="38" t="s">
        <v>110</v>
      </c>
      <c r="D703" s="66">
        <f>VLOOKUP($B674,[1]Complaints!$A$4:$AJ$39,26,)</f>
        <v>0</v>
      </c>
      <c r="E703" s="67">
        <f>VLOOKUP($B674,[2]Complaints!$A$4:$AJ$39,26,)</f>
        <v>0</v>
      </c>
      <c r="F703" s="67">
        <f>VLOOKUP($B674,[3]Complaints!$A$4:$AJ$39,26,)</f>
        <v>0</v>
      </c>
      <c r="G703" s="67">
        <f>VLOOKUP($B674,[4]Complaints!$A$4:$AJ$39,26,)</f>
        <v>0</v>
      </c>
      <c r="H703" s="67">
        <f>VLOOKUP($B674,[5]Complaints!$A$4:$AJ$39,26,)</f>
        <v>0</v>
      </c>
      <c r="I703" s="67">
        <f>VLOOKUP($B674,[6]Complaints!$A$4:$AJ$39,26,)</f>
        <v>0</v>
      </c>
      <c r="J703" s="67">
        <f>VLOOKUP($B674,[7]Complaints!$A$4:$AJ$39,26,)</f>
        <v>0</v>
      </c>
      <c r="K703" s="67">
        <f>VLOOKUP($B674,[8]Complaints!$A$4:$AJ$39,26,)</f>
        <v>0</v>
      </c>
      <c r="L703" s="67">
        <f>VLOOKUP($B674,[9]Complaints!$A$4:$AJ$39,26,)</f>
        <v>0</v>
      </c>
      <c r="M703" s="67">
        <f>VLOOKUP($B674,[10]Complaints!$A$4:$AJ$39,26,)</f>
        <v>0</v>
      </c>
      <c r="N703" s="67">
        <f>VLOOKUP($B674,[11]Complaints!$A$4:$AJ$39,26,)</f>
        <v>0</v>
      </c>
      <c r="O703" s="68">
        <f>VLOOKUP($B674,[12]Complaints!$A$4:$AJ$39,26,)</f>
        <v>0</v>
      </c>
      <c r="P703" s="69">
        <f t="shared" si="183"/>
        <v>0</v>
      </c>
      <c r="Q703" s="70" t="str">
        <f>IF(P703=0,"",P703/$P682)</f>
        <v/>
      </c>
      <c r="R703" s="18"/>
    </row>
    <row r="704" spans="1:19" s="21" customFormat="1" ht="15.75" customHeight="1" x14ac:dyDescent="0.2">
      <c r="B704" s="145"/>
      <c r="C704" s="39" t="s">
        <v>107</v>
      </c>
      <c r="D704" s="71">
        <f>VLOOKUP($B674,[1]Complaints!$A$4:$AJ$39,27,)</f>
        <v>0</v>
      </c>
      <c r="E704" s="72">
        <f>VLOOKUP($B674,[2]Complaints!$A$4:$AJ$39,27,)</f>
        <v>0</v>
      </c>
      <c r="F704" s="72">
        <f>VLOOKUP($B674,[3]Complaints!$A$4:$AJ$39,27,)</f>
        <v>0</v>
      </c>
      <c r="G704" s="72">
        <f>VLOOKUP($B674,[4]Complaints!$A$4:$AJ$39,27,)</f>
        <v>0</v>
      </c>
      <c r="H704" s="72">
        <f>VLOOKUP($B674,[5]Complaints!$A$4:$AJ$39,27,)</f>
        <v>0</v>
      </c>
      <c r="I704" s="72">
        <f>VLOOKUP($B674,[6]Complaints!$A$4:$AJ$39,27,)</f>
        <v>0</v>
      </c>
      <c r="J704" s="72">
        <f>VLOOKUP($B674,[7]Complaints!$A$4:$AJ$39,27,)</f>
        <v>0</v>
      </c>
      <c r="K704" s="72">
        <f>VLOOKUP($B674,[8]Complaints!$A$4:$AJ$39,27,)</f>
        <v>0</v>
      </c>
      <c r="L704" s="72">
        <f>VLOOKUP($B674,[9]Complaints!$A$4:$AJ$39,27,)</f>
        <v>0</v>
      </c>
      <c r="M704" s="72">
        <f>VLOOKUP($B674,[10]Complaints!$A$4:$AJ$39,27,)</f>
        <v>0</v>
      </c>
      <c r="N704" s="72">
        <f>VLOOKUP($B674,[11]Complaints!$A$4:$AJ$39,27,)</f>
        <v>0</v>
      </c>
      <c r="O704" s="73">
        <f>VLOOKUP($B674,[12]Complaints!$A$4:$AJ$39,27,)</f>
        <v>0</v>
      </c>
      <c r="P704" s="69">
        <f t="shared" si="183"/>
        <v>0</v>
      </c>
      <c r="Q704" s="70" t="str">
        <f>IF(P704=0,"",P704/$P682)</f>
        <v/>
      </c>
      <c r="S704" s="18"/>
    </row>
    <row r="705" spans="2:18" ht="15.75" customHeight="1" x14ac:dyDescent="0.2">
      <c r="B705" s="145"/>
      <c r="C705" s="39" t="s">
        <v>87</v>
      </c>
      <c r="D705" s="71">
        <f>VLOOKUP($B674,[1]Complaints!$A$4:$AJ$39,28,)</f>
        <v>0</v>
      </c>
      <c r="E705" s="72">
        <f>VLOOKUP($B674,[2]Complaints!$A$4:$AJ$39,28,)</f>
        <v>0</v>
      </c>
      <c r="F705" s="72">
        <f>VLOOKUP($B674,[3]Complaints!$A$4:$AJ$39,28,)</f>
        <v>0</v>
      </c>
      <c r="G705" s="72">
        <f>VLOOKUP($B674,[4]Complaints!$A$4:$AJ$39,28,)</f>
        <v>0</v>
      </c>
      <c r="H705" s="72">
        <f>VLOOKUP($B674,[5]Complaints!$A$4:$AJ$39,28,)</f>
        <v>0</v>
      </c>
      <c r="I705" s="72">
        <f>VLOOKUP($B674,[6]Complaints!$A$4:$AJ$39,28,)</f>
        <v>0</v>
      </c>
      <c r="J705" s="72">
        <f>VLOOKUP($B674,[7]Complaints!$A$4:$AJ$39,28,)</f>
        <v>0</v>
      </c>
      <c r="K705" s="72">
        <f>VLOOKUP($B674,[8]Complaints!$A$4:$AJ$39,28,)</f>
        <v>0</v>
      </c>
      <c r="L705" s="72">
        <f>VLOOKUP($B674,[9]Complaints!$A$4:$AJ$39,28,)</f>
        <v>0</v>
      </c>
      <c r="M705" s="72">
        <f>VLOOKUP($B674,[10]Complaints!$A$4:$AJ$39,28,)</f>
        <v>0</v>
      </c>
      <c r="N705" s="72">
        <f>VLOOKUP($B674,[11]Complaints!$A$4:$AJ$39,28,)</f>
        <v>0</v>
      </c>
      <c r="O705" s="73">
        <f>VLOOKUP($B674,[12]Complaints!$A$4:$AJ$39,28,)</f>
        <v>0</v>
      </c>
      <c r="P705" s="69">
        <f t="shared" si="183"/>
        <v>0</v>
      </c>
      <c r="Q705" s="70" t="str">
        <f>IF(P705=0,"",P705/$P682)</f>
        <v/>
      </c>
      <c r="R705" s="18"/>
    </row>
    <row r="706" spans="2:18" ht="15.75" customHeight="1" x14ac:dyDescent="0.2">
      <c r="B706" s="145"/>
      <c r="C706" s="38" t="s">
        <v>111</v>
      </c>
      <c r="D706" s="66">
        <f>VLOOKUP($B674,[1]Complaints!$A$4:$AJ$39,29,)</f>
        <v>0</v>
      </c>
      <c r="E706" s="67">
        <f>VLOOKUP($B674,[2]Complaints!$A$4:$AJ$39,29,)</f>
        <v>0</v>
      </c>
      <c r="F706" s="67">
        <f>VLOOKUP($B674,[3]Complaints!$A$4:$AJ$39,29,)</f>
        <v>0</v>
      </c>
      <c r="G706" s="67">
        <f>VLOOKUP($B674,[4]Complaints!$A$4:$AJ$39,29,)</f>
        <v>0</v>
      </c>
      <c r="H706" s="67">
        <f>VLOOKUP($B674,[5]Complaints!$A$4:$AJ$39,29,)</f>
        <v>0</v>
      </c>
      <c r="I706" s="67">
        <f>VLOOKUP($B674,[6]Complaints!$A$4:$AJ$39,29,)</f>
        <v>0</v>
      </c>
      <c r="J706" s="67">
        <f>VLOOKUP($B674,[7]Complaints!$A$4:$AJ$39,29,)</f>
        <v>0</v>
      </c>
      <c r="K706" s="67">
        <f>VLOOKUP($B674,[8]Complaints!$A$4:$AJ$39,29,)</f>
        <v>0</v>
      </c>
      <c r="L706" s="67">
        <f>VLOOKUP($B674,[9]Complaints!$A$4:$AJ$39,29,)</f>
        <v>0</v>
      </c>
      <c r="M706" s="67">
        <f>VLOOKUP($B674,[10]Complaints!$A$4:$AJ$39,29,)</f>
        <v>0</v>
      </c>
      <c r="N706" s="67">
        <f>VLOOKUP($B674,[11]Complaints!$A$4:$AJ$39,29,)</f>
        <v>0</v>
      </c>
      <c r="O706" s="68">
        <f>VLOOKUP($B674,[12]Complaints!$A$4:$AJ$39,29,)</f>
        <v>0</v>
      </c>
      <c r="P706" s="69">
        <f t="shared" si="183"/>
        <v>0</v>
      </c>
      <c r="Q706" s="70" t="str">
        <f>IF(P706=0,"",P706/$P682)</f>
        <v/>
      </c>
      <c r="R706" s="18"/>
    </row>
    <row r="707" spans="2:18" ht="15.75" customHeight="1" x14ac:dyDescent="0.2">
      <c r="B707" s="145"/>
      <c r="C707" s="38" t="s">
        <v>112</v>
      </c>
      <c r="D707" s="66">
        <f>VLOOKUP($B674,[1]Complaints!$A$4:$AJ$39,30,)</f>
        <v>0</v>
      </c>
      <c r="E707" s="67">
        <f>VLOOKUP($B674,[2]Complaints!$A$4:$AJ$39,30,)</f>
        <v>0</v>
      </c>
      <c r="F707" s="67">
        <f>VLOOKUP($B674,[3]Complaints!$A$4:$AJ$39,30,)</f>
        <v>0</v>
      </c>
      <c r="G707" s="67">
        <f>VLOOKUP($B674,[4]Complaints!$A$4:$AJ$39,30,)</f>
        <v>0</v>
      </c>
      <c r="H707" s="67">
        <f>VLOOKUP($B674,[5]Complaints!$A$4:$AJ$39,30,)</f>
        <v>0</v>
      </c>
      <c r="I707" s="67">
        <f>VLOOKUP($B674,[6]Complaints!$A$4:$AJ$39,30,)</f>
        <v>0</v>
      </c>
      <c r="J707" s="67">
        <f>VLOOKUP($B674,[7]Complaints!$A$4:$AJ$39,30,)</f>
        <v>0</v>
      </c>
      <c r="K707" s="67">
        <f>VLOOKUP($B674,[8]Complaints!$A$4:$AJ$39,30,)</f>
        <v>0</v>
      </c>
      <c r="L707" s="67">
        <f>VLOOKUP($B674,[9]Complaints!$A$4:$AJ$39,30,)</f>
        <v>0</v>
      </c>
      <c r="M707" s="67">
        <f>VLOOKUP($B674,[10]Complaints!$A$4:$AJ$39,30,)</f>
        <v>0</v>
      </c>
      <c r="N707" s="67">
        <f>VLOOKUP($B674,[11]Complaints!$A$4:$AJ$39,30,)</f>
        <v>0</v>
      </c>
      <c r="O707" s="68">
        <f>VLOOKUP($B674,[12]Complaints!$A$4:$AJ$39,30,)</f>
        <v>0</v>
      </c>
      <c r="P707" s="69">
        <f t="shared" si="183"/>
        <v>0</v>
      </c>
      <c r="Q707" s="70" t="str">
        <f>IF(P707=0,"",P707/$P682)</f>
        <v/>
      </c>
      <c r="R707" s="18"/>
    </row>
    <row r="708" spans="2:18" ht="15.75" customHeight="1" x14ac:dyDescent="0.2">
      <c r="B708" s="146"/>
      <c r="C708" s="40" t="s">
        <v>119</v>
      </c>
      <c r="D708" s="74">
        <f>VLOOKUP($B674,[1]Complaints!$A$4:$AJ$39,31,)</f>
        <v>0</v>
      </c>
      <c r="E708" s="75">
        <f>VLOOKUP($B674,[2]Complaints!$A$4:$AJ$39,31,)</f>
        <v>0</v>
      </c>
      <c r="F708" s="75">
        <f>VLOOKUP($B674,[3]Complaints!$A$4:$AJ$39,31,)</f>
        <v>0</v>
      </c>
      <c r="G708" s="75">
        <f>VLOOKUP($B674,[4]Complaints!$A$4:$AJ$39,31,)</f>
        <v>0</v>
      </c>
      <c r="H708" s="75">
        <f>VLOOKUP($B674,[5]Complaints!$A$4:$AJ$39,31,)</f>
        <v>0</v>
      </c>
      <c r="I708" s="75">
        <f>VLOOKUP($B674,[6]Complaints!$A$4:$AJ$39,31,)</f>
        <v>1</v>
      </c>
      <c r="J708" s="75">
        <f>VLOOKUP($B674,[7]Complaints!$A$4:$AJ$39,31,)</f>
        <v>0</v>
      </c>
      <c r="K708" s="75">
        <f>VLOOKUP($B674,[8]Complaints!$A$4:$AJ$39,31,)</f>
        <v>0</v>
      </c>
      <c r="L708" s="75">
        <f>VLOOKUP($B674,[9]Complaints!$A$4:$AJ$39,31,)</f>
        <v>0</v>
      </c>
      <c r="M708" s="75">
        <f>VLOOKUP($B674,[10]Complaints!$A$4:$AJ$39,31,)</f>
        <v>0</v>
      </c>
      <c r="N708" s="75">
        <f>VLOOKUP($B674,[11]Complaints!$A$4:$AJ$39,31,)</f>
        <v>0</v>
      </c>
      <c r="O708" s="76">
        <f>VLOOKUP($B674,[12]Complaints!$A$4:$AJ$39,31,)</f>
        <v>0</v>
      </c>
      <c r="P708" s="77">
        <f t="shared" si="183"/>
        <v>1</v>
      </c>
      <c r="Q708" s="50">
        <f>IF(P708=0,"",P708/$P682)</f>
        <v>0.33333333333333331</v>
      </c>
      <c r="R708" s="18"/>
    </row>
    <row r="709" spans="2:18" ht="15.75" customHeight="1" x14ac:dyDescent="0.2">
      <c r="B709" s="146"/>
      <c r="C709" s="38" t="s">
        <v>113</v>
      </c>
      <c r="D709" s="66">
        <f>VLOOKUP($B674,[1]Complaints!$A$4:$AJ$39,32,)</f>
        <v>0</v>
      </c>
      <c r="E709" s="67">
        <f>VLOOKUP($B674,[2]Complaints!$A$4:$AJ$39,32,)</f>
        <v>0</v>
      </c>
      <c r="F709" s="67">
        <f>VLOOKUP($B674,[3]Complaints!$A$4:$AJ$39,32,)</f>
        <v>0</v>
      </c>
      <c r="G709" s="67">
        <f>VLOOKUP($B674,[4]Complaints!$A$4:$AJ$39,32,)</f>
        <v>0</v>
      </c>
      <c r="H709" s="67">
        <f>VLOOKUP($B674,[5]Complaints!$A$4:$AJ$39,32,)</f>
        <v>0</v>
      </c>
      <c r="I709" s="67">
        <f>VLOOKUP($B674,[6]Complaints!$A$4:$AJ$39,32,)</f>
        <v>1</v>
      </c>
      <c r="J709" s="67">
        <f>VLOOKUP($B674,[7]Complaints!$A$4:$AJ$39,32,)</f>
        <v>0</v>
      </c>
      <c r="K709" s="67">
        <f>VLOOKUP($B674,[8]Complaints!$A$4:$AJ$39,32,)</f>
        <v>0</v>
      </c>
      <c r="L709" s="67">
        <f>VLOOKUP($B674,[9]Complaints!$A$4:$AJ$39,32,)</f>
        <v>0</v>
      </c>
      <c r="M709" s="67">
        <f>VLOOKUP($B674,[10]Complaints!$A$4:$AJ$39,32,)</f>
        <v>0</v>
      </c>
      <c r="N709" s="67">
        <f>VLOOKUP($B674,[11]Complaints!$A$4:$AJ$39,32,)</f>
        <v>0</v>
      </c>
      <c r="O709" s="68">
        <f>VLOOKUP($B674,[12]Complaints!$A$4:$AJ$39,32,)</f>
        <v>0</v>
      </c>
      <c r="P709" s="69">
        <f t="shared" si="183"/>
        <v>1</v>
      </c>
      <c r="Q709" s="70">
        <f>IF(P709=0,"",P709/$P682)</f>
        <v>0.33333333333333331</v>
      </c>
      <c r="R709" s="18"/>
    </row>
    <row r="710" spans="2:18" ht="15.75" customHeight="1" x14ac:dyDescent="0.2">
      <c r="B710" s="146"/>
      <c r="C710" s="38" t="s">
        <v>114</v>
      </c>
      <c r="D710" s="66">
        <f>VLOOKUP($B674,[1]Complaints!$A$4:$AJ$39,33,)</f>
        <v>0</v>
      </c>
      <c r="E710" s="67">
        <f>VLOOKUP($B674,[2]Complaints!$A$4:$AJ$39,33,)</f>
        <v>0</v>
      </c>
      <c r="F710" s="67">
        <f>VLOOKUP($B674,[3]Complaints!$A$4:$AJ$39,33,)</f>
        <v>0</v>
      </c>
      <c r="G710" s="67">
        <f>VLOOKUP($B674,[4]Complaints!$A$4:$AJ$39,33,)</f>
        <v>0</v>
      </c>
      <c r="H710" s="67">
        <f>VLOOKUP($B674,[5]Complaints!$A$4:$AJ$39,33,)</f>
        <v>0</v>
      </c>
      <c r="I710" s="67">
        <f>VLOOKUP($B674,[6]Complaints!$A$4:$AJ$39,33,)</f>
        <v>0</v>
      </c>
      <c r="J710" s="67">
        <f>VLOOKUP($B674,[7]Complaints!$A$4:$AJ$39,33,)</f>
        <v>0</v>
      </c>
      <c r="K710" s="67">
        <f>VLOOKUP($B674,[8]Complaints!$A$4:$AJ$39,33,)</f>
        <v>0</v>
      </c>
      <c r="L710" s="67">
        <f>VLOOKUP($B674,[9]Complaints!$A$4:$AJ$39,33,)</f>
        <v>0</v>
      </c>
      <c r="M710" s="67">
        <f>VLOOKUP($B674,[10]Complaints!$A$4:$AJ$39,33,)</f>
        <v>0</v>
      </c>
      <c r="N710" s="67">
        <f>VLOOKUP($B674,[11]Complaints!$A$4:$AJ$39,33,)</f>
        <v>0</v>
      </c>
      <c r="O710" s="68">
        <f>VLOOKUP($B674,[12]Complaints!$A$4:$AJ$39,33,)</f>
        <v>0</v>
      </c>
      <c r="P710" s="69">
        <f t="shared" si="183"/>
        <v>0</v>
      </c>
      <c r="Q710" s="70" t="str">
        <f>IF(P710=0,"",P710/$P682)</f>
        <v/>
      </c>
      <c r="R710" s="18"/>
    </row>
    <row r="711" spans="2:18" ht="15.75" customHeight="1" x14ac:dyDescent="0.2">
      <c r="B711" s="146"/>
      <c r="C711" s="38" t="s">
        <v>115</v>
      </c>
      <c r="D711" s="66">
        <f>VLOOKUP($B674,[1]Complaints!$A$4:$AJ$39,34,)</f>
        <v>0</v>
      </c>
      <c r="E711" s="67">
        <f>VLOOKUP($B674,[2]Complaints!$A$4:$AJ$39,34,)</f>
        <v>0</v>
      </c>
      <c r="F711" s="67">
        <f>VLOOKUP($B674,[3]Complaints!$A$4:$AJ$39,34,)</f>
        <v>0</v>
      </c>
      <c r="G711" s="67">
        <f>VLOOKUP($B674,[4]Complaints!$A$4:$AJ$39,34,)</f>
        <v>0</v>
      </c>
      <c r="H711" s="67">
        <f>VLOOKUP($B674,[5]Complaints!$A$4:$AJ$39,34,)</f>
        <v>0</v>
      </c>
      <c r="I711" s="67">
        <f>VLOOKUP($B674,[6]Complaints!$A$4:$AJ$39,34,)</f>
        <v>0</v>
      </c>
      <c r="J711" s="67">
        <f>VLOOKUP($B674,[7]Complaints!$A$4:$AJ$39,34,)</f>
        <v>0</v>
      </c>
      <c r="K711" s="67">
        <f>VLOOKUP($B674,[8]Complaints!$A$4:$AJ$39,34,)</f>
        <v>0</v>
      </c>
      <c r="L711" s="67">
        <f>VLOOKUP($B674,[9]Complaints!$A$4:$AJ$39,34,)</f>
        <v>0</v>
      </c>
      <c r="M711" s="67">
        <f>VLOOKUP($B674,[10]Complaints!$A$4:$AJ$39,34,)</f>
        <v>0</v>
      </c>
      <c r="N711" s="67">
        <f>VLOOKUP($B674,[11]Complaints!$A$4:$AJ$39,34,)</f>
        <v>0</v>
      </c>
      <c r="O711" s="68">
        <f>VLOOKUP($B674,[12]Complaints!$A$4:$AJ$39,34,)</f>
        <v>0</v>
      </c>
      <c r="P711" s="69">
        <f t="shared" si="183"/>
        <v>0</v>
      </c>
      <c r="Q711" s="70" t="str">
        <f>IF(P711=0,"",P711/$P682)</f>
        <v/>
      </c>
      <c r="R711" s="18"/>
    </row>
    <row r="712" spans="2:18" ht="15.75" customHeight="1" x14ac:dyDescent="0.2">
      <c r="B712" s="146"/>
      <c r="C712" s="38" t="s">
        <v>116</v>
      </c>
      <c r="D712" s="66">
        <f>VLOOKUP($B674,[1]Complaints!$A$4:$AJ$39,35,)</f>
        <v>0</v>
      </c>
      <c r="E712" s="67">
        <f>VLOOKUP($B674,[2]Complaints!$A$4:$AJ$39,35,)</f>
        <v>0</v>
      </c>
      <c r="F712" s="67">
        <f>VLOOKUP($B674,[3]Complaints!$A$4:$AJ$39,35,)</f>
        <v>0</v>
      </c>
      <c r="G712" s="67">
        <f>VLOOKUP($B674,[4]Complaints!$A$4:$AJ$39,35,)</f>
        <v>0</v>
      </c>
      <c r="H712" s="67">
        <f>VLOOKUP($B674,[5]Complaints!$A$4:$AJ$39,35,)</f>
        <v>0</v>
      </c>
      <c r="I712" s="67">
        <f>VLOOKUP($B674,[6]Complaints!$A$4:$AJ$39,35,)</f>
        <v>0</v>
      </c>
      <c r="J712" s="67">
        <f>VLOOKUP($B674,[7]Complaints!$A$4:$AJ$39,35,)</f>
        <v>0</v>
      </c>
      <c r="K712" s="67">
        <f>VLOOKUP($B674,[8]Complaints!$A$4:$AJ$39,35,)</f>
        <v>0</v>
      </c>
      <c r="L712" s="67">
        <f>VLOOKUP($B674,[9]Complaints!$A$4:$AJ$39,35,)</f>
        <v>0</v>
      </c>
      <c r="M712" s="67">
        <f>VLOOKUP($B674,[10]Complaints!$A$4:$AJ$39,35,)</f>
        <v>0</v>
      </c>
      <c r="N712" s="67">
        <f>VLOOKUP($B674,[11]Complaints!$A$4:$AJ$39,35,)</f>
        <v>0</v>
      </c>
      <c r="O712" s="68">
        <f>VLOOKUP($B674,[12]Complaints!$A$4:$AJ$39,35,)</f>
        <v>0</v>
      </c>
      <c r="P712" s="69">
        <f t="shared" si="183"/>
        <v>0</v>
      </c>
      <c r="Q712" s="70" t="str">
        <f>IF(P712=0,"",P712/$P682)</f>
        <v/>
      </c>
      <c r="R712" s="18"/>
    </row>
    <row r="713" spans="2:18" ht="15.75" customHeight="1" thickBot="1" x14ac:dyDescent="0.25">
      <c r="B713" s="147"/>
      <c r="C713" s="41" t="s">
        <v>117</v>
      </c>
      <c r="D713" s="78">
        <f>VLOOKUP($B674,[1]Complaints!$A$4:$AJ$39,36,)</f>
        <v>0</v>
      </c>
      <c r="E713" s="79">
        <f>VLOOKUP($B674,[2]Complaints!$A$4:$AJ$39,36,)</f>
        <v>0</v>
      </c>
      <c r="F713" s="79">
        <f>VLOOKUP($B674,[3]Complaints!$A$4:$AJ$39,36,)</f>
        <v>0</v>
      </c>
      <c r="G713" s="79">
        <f>VLOOKUP($B674,[4]Complaints!$A$4:$AJ$39,36,)</f>
        <v>0</v>
      </c>
      <c r="H713" s="79">
        <f>VLOOKUP($B674,[5]Complaints!$A$4:$AJ$39,36,)</f>
        <v>0</v>
      </c>
      <c r="I713" s="79">
        <f>VLOOKUP($B674,[6]Complaints!$A$4:$AJ$39,36,)</f>
        <v>0</v>
      </c>
      <c r="J713" s="79">
        <f>VLOOKUP($B674,[7]Complaints!$A$4:$AJ$39,36,)</f>
        <v>0</v>
      </c>
      <c r="K713" s="79">
        <f>VLOOKUP($B674,[8]Complaints!$A$4:$AJ$39,36,)</f>
        <v>0</v>
      </c>
      <c r="L713" s="79">
        <f>VLOOKUP($B674,[9]Complaints!$A$4:$AJ$39,36,)</f>
        <v>0</v>
      </c>
      <c r="M713" s="79">
        <f>VLOOKUP($B674,[10]Complaints!$A$4:$AJ$39,36,)</f>
        <v>0</v>
      </c>
      <c r="N713" s="79">
        <f>VLOOKUP($B674,[11]Complaints!$A$4:$AJ$39,36,)</f>
        <v>0</v>
      </c>
      <c r="O713" s="80">
        <f>VLOOKUP($B674,[12]Complaints!$A$4:$AJ$39,36,)</f>
        <v>0</v>
      </c>
      <c r="P713" s="81">
        <f t="shared" si="183"/>
        <v>0</v>
      </c>
      <c r="Q713" s="82" t="str">
        <f>IF(P713=0,"",P713/$P682)</f>
        <v/>
      </c>
      <c r="R713" s="18"/>
    </row>
    <row r="714" spans="2:18" ht="15.75" customHeight="1" thickBot="1" x14ac:dyDescent="0.25">
      <c r="R714" s="18"/>
    </row>
    <row r="715" spans="2:18" ht="15.75" customHeight="1" x14ac:dyDescent="0.25">
      <c r="B715" s="158" t="s">
        <v>26</v>
      </c>
      <c r="C715" s="159"/>
      <c r="D715" s="32" t="s">
        <v>0</v>
      </c>
      <c r="E715" s="20" t="s">
        <v>1</v>
      </c>
      <c r="F715" s="20" t="s">
        <v>2</v>
      </c>
      <c r="G715" s="20" t="s">
        <v>3</v>
      </c>
      <c r="H715" s="20" t="s">
        <v>4</v>
      </c>
      <c r="I715" s="20" t="s">
        <v>5</v>
      </c>
      <c r="J715" s="20" t="s">
        <v>6</v>
      </c>
      <c r="K715" s="20" t="s">
        <v>7</v>
      </c>
      <c r="L715" s="20" t="s">
        <v>8</v>
      </c>
      <c r="M715" s="20" t="s">
        <v>9</v>
      </c>
      <c r="N715" s="20" t="s">
        <v>10</v>
      </c>
      <c r="O715" s="33" t="s">
        <v>11</v>
      </c>
      <c r="P715" s="35" t="s">
        <v>12</v>
      </c>
      <c r="Q715" s="160" t="s">
        <v>104</v>
      </c>
      <c r="R715" s="18"/>
    </row>
    <row r="716" spans="2:18" ht="15.75" customHeight="1" thickBot="1" x14ac:dyDescent="0.3">
      <c r="B716" s="162" t="s">
        <v>59</v>
      </c>
      <c r="C716" s="163"/>
      <c r="D716" s="34">
        <v>2020</v>
      </c>
      <c r="E716" s="34">
        <v>2020</v>
      </c>
      <c r="F716" s="34">
        <v>2020</v>
      </c>
      <c r="G716" s="34">
        <v>2020</v>
      </c>
      <c r="H716" s="34">
        <v>2020</v>
      </c>
      <c r="I716" s="34">
        <v>2020</v>
      </c>
      <c r="J716" s="34">
        <v>2020</v>
      </c>
      <c r="K716" s="34">
        <v>2020</v>
      </c>
      <c r="L716" s="34">
        <v>2020</v>
      </c>
      <c r="M716" s="25">
        <v>2021</v>
      </c>
      <c r="N716" s="25">
        <v>2021</v>
      </c>
      <c r="O716" s="25">
        <v>2021</v>
      </c>
      <c r="P716" s="36" t="s">
        <v>122</v>
      </c>
      <c r="Q716" s="161"/>
      <c r="R716" s="18"/>
    </row>
    <row r="717" spans="2:18" ht="12.75" customHeight="1" thickBot="1" x14ac:dyDescent="0.25">
      <c r="B717" s="164" t="s">
        <v>38</v>
      </c>
      <c r="C717" s="165"/>
      <c r="D717" s="42">
        <f>VLOOKUP($B716,[1]Complaints!$A$4:$AJ$39,2,)</f>
        <v>338</v>
      </c>
      <c r="E717" s="43">
        <f>VLOOKUP($B716,[2]Complaints!$A$4:$AJ$39,2,)</f>
        <v>305</v>
      </c>
      <c r="F717" s="43">
        <f>VLOOKUP($B716,[3]Complaints!$A$4:$AJ$39,2)</f>
        <v>414</v>
      </c>
      <c r="G717" s="43">
        <f>VLOOKUP($B716,[4]Complaints!$A$4:$AJ$39,2)</f>
        <v>698</v>
      </c>
      <c r="H717" s="43">
        <f>VLOOKUP($B716,[5]Complaints!$A$4:$AJ$39,2)</f>
        <v>846</v>
      </c>
      <c r="I717" s="43">
        <f>VLOOKUP($B716,[6]Complaints!$A$4:$AJ$39,2)</f>
        <v>954</v>
      </c>
      <c r="J717" s="43">
        <f>VLOOKUP($B716,[7]Complaints!$A$4:$AJ$39,2)</f>
        <v>836</v>
      </c>
      <c r="K717" s="43">
        <f>VLOOKUP($B716,[8]Complaints!$A$4:$AJ$39,2)</f>
        <v>836</v>
      </c>
      <c r="L717" s="43">
        <f>VLOOKUP($B716,[9]Complaints!$A$4:$AJ$39,2)</f>
        <v>784</v>
      </c>
      <c r="M717" s="43">
        <f>VLOOKUP($B716,[10]Complaints!$A$4:$AJ$39,2)</f>
        <v>598</v>
      </c>
      <c r="N717" s="43">
        <f>VLOOKUP($B716,[11]Complaints!$A$4:$AJ$39,2)</f>
        <v>0</v>
      </c>
      <c r="O717" s="44">
        <f>VLOOKUP($B716,[12]Complaints!$A$4:$AJ$39,2)</f>
        <v>0</v>
      </c>
      <c r="P717" s="45">
        <f>SUM(D717:O717)</f>
        <v>6609</v>
      </c>
      <c r="Q717" s="46"/>
      <c r="R717" s="18"/>
    </row>
    <row r="718" spans="2:18" ht="15.75" customHeight="1" x14ac:dyDescent="0.2">
      <c r="B718" s="166" t="s">
        <v>94</v>
      </c>
      <c r="C718" s="167"/>
      <c r="D718" s="47">
        <f>VLOOKUP($B716,[1]Complaints!$A$4:$AF$39,3,)</f>
        <v>0</v>
      </c>
      <c r="E718" s="48">
        <f>VLOOKUP($B716,[2]Complaints!$A$4:$AF$39,3,)</f>
        <v>0</v>
      </c>
      <c r="F718" s="48">
        <f>VLOOKUP($B716,[3]Complaints!$A$4:$AG$39,3,)</f>
        <v>0</v>
      </c>
      <c r="G718" s="48">
        <f>VLOOKUP($B716,[4]Complaints!$A$4:$AG$39,3,)</f>
        <v>0</v>
      </c>
      <c r="H718" s="48">
        <f>VLOOKUP($B716,[5]Complaints!$A$4:$AG$39,3,)</f>
        <v>0</v>
      </c>
      <c r="I718" s="48">
        <f>VLOOKUP($B716,[6]Complaints!$A$4:$AG$39,3,)</f>
        <v>0</v>
      </c>
      <c r="J718" s="48">
        <f>VLOOKUP($B716,[7]Complaints!$A$4:$AG$39,3,)</f>
        <v>3</v>
      </c>
      <c r="K718" s="48">
        <f>VLOOKUP($B716,[8]Complaints!$A$4:$AG$39,3,)</f>
        <v>3</v>
      </c>
      <c r="L718" s="48">
        <f>VLOOKUP($B716,[9]Complaints!$A$4:$AG$39,3,)</f>
        <v>1</v>
      </c>
      <c r="M718" s="48">
        <f>VLOOKUP($B716,[10]Complaints!$A$4:$AG$39,3,)</f>
        <v>0</v>
      </c>
      <c r="N718" s="48">
        <f>VLOOKUP($B716,[11]Complaints!$A$4:$AG$39,3,)</f>
        <v>0</v>
      </c>
      <c r="O718" s="49">
        <f>VLOOKUP($B716,[12]Complaints!$A$4:$AG$39,3,)</f>
        <v>0</v>
      </c>
      <c r="P718" s="45">
        <f>SUM(D718:O718)</f>
        <v>7</v>
      </c>
      <c r="Q718" s="50"/>
      <c r="R718" s="18"/>
    </row>
    <row r="719" spans="2:18" ht="15.75" customHeight="1" x14ac:dyDescent="0.2">
      <c r="B719" s="26"/>
      <c r="C719" s="28" t="s">
        <v>102</v>
      </c>
      <c r="D719" s="51">
        <f>IF(D717=0,"",D718/D717)</f>
        <v>0</v>
      </c>
      <c r="E719" s="52">
        <f t="shared" ref="E719:O719" si="184">IF(E717=0,"",E718/E717)</f>
        <v>0</v>
      </c>
      <c r="F719" s="52">
        <f t="shared" si="184"/>
        <v>0</v>
      </c>
      <c r="G719" s="52">
        <f t="shared" si="184"/>
        <v>0</v>
      </c>
      <c r="H719" s="52">
        <f t="shared" si="184"/>
        <v>0</v>
      </c>
      <c r="I719" s="52">
        <f t="shared" si="184"/>
        <v>0</v>
      </c>
      <c r="J719" s="52">
        <f t="shared" si="184"/>
        <v>3.5885167464114833E-3</v>
      </c>
      <c r="K719" s="52">
        <f t="shared" si="184"/>
        <v>3.5885167464114833E-3</v>
      </c>
      <c r="L719" s="52">
        <f t="shared" si="184"/>
        <v>1.2755102040816326E-3</v>
      </c>
      <c r="M719" s="52">
        <f t="shared" si="184"/>
        <v>0</v>
      </c>
      <c r="N719" s="52" t="str">
        <f t="shared" si="184"/>
        <v/>
      </c>
      <c r="O719" s="53" t="str">
        <f t="shared" si="184"/>
        <v/>
      </c>
      <c r="P719" s="54">
        <f>IF(P718="","",P718/P717)</f>
        <v>1.0591617491299743E-3</v>
      </c>
      <c r="Q719" s="50"/>
      <c r="R719" s="18"/>
    </row>
    <row r="720" spans="2:18" s="21" customFormat="1" ht="15.75" customHeight="1" x14ac:dyDescent="0.2">
      <c r="B720" s="155" t="s">
        <v>95</v>
      </c>
      <c r="C720" s="156"/>
      <c r="D720" s="47">
        <f>VLOOKUP($B716,[1]Complaints!$A$4:$AF$39,4,)</f>
        <v>0</v>
      </c>
      <c r="E720" s="48">
        <f>VLOOKUP($B716,[2]Complaints!$A$4:$AF$39,4,)</f>
        <v>0</v>
      </c>
      <c r="F720" s="48">
        <f>VLOOKUP($B716,[3]Complaints!$A$4:$AG$39,4,)</f>
        <v>0</v>
      </c>
      <c r="G720" s="48">
        <f>VLOOKUP($B716,[4]Complaints!$A$4:$AG$39,4,)</f>
        <v>0</v>
      </c>
      <c r="H720" s="48">
        <f>VLOOKUP($B716,[5]Complaints!$A$4:$AG$39,4,)</f>
        <v>0</v>
      </c>
      <c r="I720" s="48">
        <f>VLOOKUP($B716,[6]Complaints!$A$4:$AG$39,4,)</f>
        <v>0</v>
      </c>
      <c r="J720" s="48">
        <f>VLOOKUP($B716,[7]Complaints!$A$4:$AG$39,4,)</f>
        <v>1</v>
      </c>
      <c r="K720" s="48">
        <f>VLOOKUP($B716,[8]Complaints!$A$4:$AG$39,4,)</f>
        <v>1</v>
      </c>
      <c r="L720" s="48">
        <f>VLOOKUP($B716,[9]Complaints!$A$4:$AG$39,4,)</f>
        <v>1</v>
      </c>
      <c r="M720" s="48">
        <f>VLOOKUP($B716,[10]Complaints!$A$4:$AG$39,4,)</f>
        <v>0</v>
      </c>
      <c r="N720" s="48">
        <f>VLOOKUP($B716,[11]Complaints!$A$4:$AG$39,4,)</f>
        <v>0</v>
      </c>
      <c r="O720" s="49">
        <f>VLOOKUP($B716,[12]Complaints!$A$4:$AG$39,4,)</f>
        <v>0</v>
      </c>
      <c r="P720" s="55">
        <f t="shared" ref="P720" si="185">SUM(D720:O720)</f>
        <v>3</v>
      </c>
      <c r="Q720" s="50"/>
    </row>
    <row r="721" spans="2:18" ht="15.75" customHeight="1" x14ac:dyDescent="0.2">
      <c r="B721" s="26"/>
      <c r="C721" s="28" t="s">
        <v>98</v>
      </c>
      <c r="D721" s="51">
        <f>IF(D717=0,"",D720/D717)</f>
        <v>0</v>
      </c>
      <c r="E721" s="52">
        <f t="shared" ref="E721:O721" si="186">IF(E717=0,"",E720/E717)</f>
        <v>0</v>
      </c>
      <c r="F721" s="52">
        <f t="shared" si="186"/>
        <v>0</v>
      </c>
      <c r="G721" s="52">
        <f t="shared" si="186"/>
        <v>0</v>
      </c>
      <c r="H721" s="52">
        <f t="shared" si="186"/>
        <v>0</v>
      </c>
      <c r="I721" s="52">
        <f t="shared" si="186"/>
        <v>0</v>
      </c>
      <c r="J721" s="52">
        <f t="shared" si="186"/>
        <v>1.1961722488038277E-3</v>
      </c>
      <c r="K721" s="52">
        <f t="shared" si="186"/>
        <v>1.1961722488038277E-3</v>
      </c>
      <c r="L721" s="52">
        <f t="shared" si="186"/>
        <v>1.2755102040816326E-3</v>
      </c>
      <c r="M721" s="52">
        <f t="shared" si="186"/>
        <v>0</v>
      </c>
      <c r="N721" s="52" t="str">
        <f t="shared" si="186"/>
        <v/>
      </c>
      <c r="O721" s="53" t="str">
        <f t="shared" si="186"/>
        <v/>
      </c>
      <c r="P721" s="54">
        <f>IF(P720="","",P720/P717)</f>
        <v>4.5392646391284613E-4</v>
      </c>
      <c r="Q721" s="50"/>
      <c r="R721" s="18"/>
    </row>
    <row r="722" spans="2:18" ht="15.75" customHeight="1" x14ac:dyDescent="0.2">
      <c r="B722" s="155" t="s">
        <v>96</v>
      </c>
      <c r="C722" s="156"/>
      <c r="D722" s="47">
        <f>VLOOKUP($B716,[1]Complaints!$A$4:$AF$39,5,)</f>
        <v>0</v>
      </c>
      <c r="E722" s="48">
        <f>VLOOKUP($B716,[2]Complaints!$A$4:$AF$39,5,)</f>
        <v>0</v>
      </c>
      <c r="F722" s="48">
        <f>VLOOKUP($B716,[3]Complaints!$A$4:$AG$39,5,)</f>
        <v>0</v>
      </c>
      <c r="G722" s="48">
        <f>VLOOKUP($B716,[4]Complaints!$A$4:$AG$39,5,)</f>
        <v>0</v>
      </c>
      <c r="H722" s="48">
        <f>VLOOKUP($B716,[5]Complaints!$A$4:$AG$39,5,)</f>
        <v>0</v>
      </c>
      <c r="I722" s="48">
        <f>VLOOKUP($B716,[6]Complaints!$A$4:$AG$39,5,)</f>
        <v>0</v>
      </c>
      <c r="J722" s="48">
        <f>VLOOKUP($B716,[7]Complaints!$A$4:$AG$39,5,)</f>
        <v>2</v>
      </c>
      <c r="K722" s="48">
        <f>VLOOKUP($B716,[8]Complaints!$A$4:$AG$39,5,)</f>
        <v>2</v>
      </c>
      <c r="L722" s="48">
        <f>VLOOKUP($B716,[9]Complaints!$A$4:$AG$39,5,)</f>
        <v>0</v>
      </c>
      <c r="M722" s="48">
        <f>VLOOKUP($B716,[10]Complaints!$A$4:$AG$39,5,)</f>
        <v>0</v>
      </c>
      <c r="N722" s="48">
        <f>VLOOKUP($B716,[11]Complaints!$A$4:$AG$39,5,)</f>
        <v>0</v>
      </c>
      <c r="O722" s="49">
        <f>VLOOKUP($B716,[12]Complaints!$A$4:$AG$39,5,)</f>
        <v>0</v>
      </c>
      <c r="P722" s="55">
        <f t="shared" ref="P722" si="187">SUM(D722:O722)</f>
        <v>4</v>
      </c>
      <c r="Q722" s="50"/>
      <c r="R722" s="18"/>
    </row>
    <row r="723" spans="2:18" ht="15.75" customHeight="1" x14ac:dyDescent="0.2">
      <c r="B723" s="26"/>
      <c r="C723" s="28" t="s">
        <v>99</v>
      </c>
      <c r="D723" s="51">
        <f>IF(D717=0,"",D722/D717)</f>
        <v>0</v>
      </c>
      <c r="E723" s="52">
        <f t="shared" ref="E723:O723" si="188">IF(E717=0,"",E722/E717)</f>
        <v>0</v>
      </c>
      <c r="F723" s="52">
        <f t="shared" si="188"/>
        <v>0</v>
      </c>
      <c r="G723" s="52">
        <f t="shared" si="188"/>
        <v>0</v>
      </c>
      <c r="H723" s="52">
        <f t="shared" si="188"/>
        <v>0</v>
      </c>
      <c r="I723" s="52">
        <f t="shared" si="188"/>
        <v>0</v>
      </c>
      <c r="J723" s="52">
        <f t="shared" si="188"/>
        <v>2.3923444976076554E-3</v>
      </c>
      <c r="K723" s="52">
        <f t="shared" si="188"/>
        <v>2.3923444976076554E-3</v>
      </c>
      <c r="L723" s="52">
        <f t="shared" si="188"/>
        <v>0</v>
      </c>
      <c r="M723" s="52">
        <f t="shared" si="188"/>
        <v>0</v>
      </c>
      <c r="N723" s="52" t="str">
        <f t="shared" si="188"/>
        <v/>
      </c>
      <c r="O723" s="53" t="str">
        <f t="shared" si="188"/>
        <v/>
      </c>
      <c r="P723" s="54">
        <f>IF(P722="","",P722/P717)</f>
        <v>6.0523528521712821E-4</v>
      </c>
      <c r="Q723" s="50"/>
      <c r="R723" s="18"/>
    </row>
    <row r="724" spans="2:18" ht="15.75" customHeight="1" x14ac:dyDescent="0.2">
      <c r="B724" s="157" t="s">
        <v>97</v>
      </c>
      <c r="C724" s="156"/>
      <c r="D724" s="47">
        <f>VLOOKUP($B716,[1]Complaints!$A$4:$AF$39,6,)</f>
        <v>0</v>
      </c>
      <c r="E724" s="48">
        <f>VLOOKUP($B716,[2]Complaints!$A$4:$AF$39,6,)</f>
        <v>0</v>
      </c>
      <c r="F724" s="48">
        <f>VLOOKUP($B716,[3]Complaints!$A$4:$AG$39,6,)</f>
        <v>0</v>
      </c>
      <c r="G724" s="48">
        <f>VLOOKUP($B716,[4]Complaints!$A$4:$AG$39,6,)</f>
        <v>0</v>
      </c>
      <c r="H724" s="48">
        <f>VLOOKUP($B716,[5]Complaints!$A$4:$AG$39,6,)</f>
        <v>0</v>
      </c>
      <c r="I724" s="48">
        <f>VLOOKUP($B716,[6]Complaints!$A$4:$AG$39,6,)</f>
        <v>0</v>
      </c>
      <c r="J724" s="48">
        <f>VLOOKUP($B716,[7]Complaints!$A$4:$AG$39,6,)</f>
        <v>1</v>
      </c>
      <c r="K724" s="48">
        <f>VLOOKUP($B716,[8]Complaints!$A$4:$AG$39,6,)</f>
        <v>1</v>
      </c>
      <c r="L724" s="48">
        <f>VLOOKUP($B716,[9]Complaints!$A$4:$AG$39,6,)</f>
        <v>0</v>
      </c>
      <c r="M724" s="48">
        <f>VLOOKUP($B716,[10]Complaints!$A$4:$AG$39,6,)</f>
        <v>0</v>
      </c>
      <c r="N724" s="48">
        <f>VLOOKUP($B716,[11]Complaints!$A$4:$AG$39,6,)</f>
        <v>0</v>
      </c>
      <c r="O724" s="49">
        <f>VLOOKUP($B716,[12]Complaints!$A$4:$AG$39,6,)</f>
        <v>0</v>
      </c>
      <c r="P724" s="55">
        <f t="shared" ref="P724" si="189">SUM(D724:O724)</f>
        <v>2</v>
      </c>
      <c r="Q724" s="50"/>
      <c r="R724" s="18"/>
    </row>
    <row r="725" spans="2:18" ht="15.75" customHeight="1" thickBot="1" x14ac:dyDescent="0.25">
      <c r="B725" s="27"/>
      <c r="C725" s="29" t="s">
        <v>100</v>
      </c>
      <c r="D725" s="56" t="str">
        <f>IF(D724=0,"",D724/D722)</f>
        <v/>
      </c>
      <c r="E725" s="57" t="str">
        <f t="shared" ref="E725:H725" si="190">IF(E724=0,"",E724/E722)</f>
        <v/>
      </c>
      <c r="F725" s="57" t="str">
        <f t="shared" si="190"/>
        <v/>
      </c>
      <c r="G725" s="57" t="str">
        <f t="shared" si="190"/>
        <v/>
      </c>
      <c r="H725" s="57" t="str">
        <f t="shared" si="190"/>
        <v/>
      </c>
      <c r="I725" s="57" t="str">
        <f>IF(I724=0,"",I724/I722)</f>
        <v/>
      </c>
      <c r="J725" s="57">
        <f t="shared" ref="J725:O725" si="191">IF(J724=0,"",J724/J722)</f>
        <v>0.5</v>
      </c>
      <c r="K725" s="57">
        <f t="shared" si="191"/>
        <v>0.5</v>
      </c>
      <c r="L725" s="57" t="str">
        <f t="shared" si="191"/>
        <v/>
      </c>
      <c r="M725" s="57" t="str">
        <f t="shared" si="191"/>
        <v/>
      </c>
      <c r="N725" s="57" t="str">
        <f t="shared" si="191"/>
        <v/>
      </c>
      <c r="O725" s="58" t="str">
        <f t="shared" si="191"/>
        <v/>
      </c>
      <c r="P725" s="59">
        <f>IF(P724=0,"",P724/P722)</f>
        <v>0.5</v>
      </c>
      <c r="Q725" s="60"/>
      <c r="R725" s="18"/>
    </row>
    <row r="726" spans="2:18" ht="15.75" customHeight="1" x14ac:dyDescent="0.2">
      <c r="B726" s="168" t="s">
        <v>103</v>
      </c>
      <c r="C726" s="30" t="s">
        <v>77</v>
      </c>
      <c r="D726" s="61">
        <f>VLOOKUP($B716,[1]Complaints!$A$4:$AJ$39,7,)</f>
        <v>0</v>
      </c>
      <c r="E726" s="43">
        <f>VLOOKUP($B716,[2]Complaints!$A$4:$AJ$39,7,)</f>
        <v>0</v>
      </c>
      <c r="F726" s="43">
        <f>VLOOKUP($B716,[3]Complaints!$A$4:$AJ$39,7,)</f>
        <v>0</v>
      </c>
      <c r="G726" s="43">
        <f>VLOOKUP($B716,[4]Complaints!$A$4:$AJ$39,7,)</f>
        <v>0</v>
      </c>
      <c r="H726" s="43">
        <f>VLOOKUP($B716,[5]Complaints!$A$4:$AJ$39,7,)</f>
        <v>0</v>
      </c>
      <c r="I726" s="43">
        <f>VLOOKUP($B716,[6]Complaints!$A$4:$AJ$39,7,)</f>
        <v>0</v>
      </c>
      <c r="J726" s="43">
        <f>VLOOKUP($B716,[7]Complaints!$A$4:$AJ$39,7,)</f>
        <v>0</v>
      </c>
      <c r="K726" s="43">
        <f>VLOOKUP($B716,[8]Complaints!$A$4:$AJ$39,7,)</f>
        <v>0</v>
      </c>
      <c r="L726" s="43">
        <f>VLOOKUP($B716,[9]Complaints!$A$4:$AJ$39,7,)</f>
        <v>0</v>
      </c>
      <c r="M726" s="43">
        <f>VLOOKUP($B716,[10]Complaints!$A$4:$AJ$39,7,)</f>
        <v>0</v>
      </c>
      <c r="N726" s="43">
        <f>VLOOKUP($B716,[11]Complaints!$A$4:$AJ$39,7,)</f>
        <v>0</v>
      </c>
      <c r="O726" s="44">
        <f>VLOOKUP($B716,[12]Complaints!$A$4:$AJ$39,7,)</f>
        <v>0</v>
      </c>
      <c r="P726" s="45">
        <f>SUM(D726:O726)</f>
        <v>0</v>
      </c>
      <c r="Q726" s="46" t="str">
        <f>IF(P726=0,"",P726/$P718)</f>
        <v/>
      </c>
      <c r="R726" s="18"/>
    </row>
    <row r="727" spans="2:18" ht="15.75" customHeight="1" x14ac:dyDescent="0.2">
      <c r="B727" s="169"/>
      <c r="C727" s="31" t="s">
        <v>89</v>
      </c>
      <c r="D727" s="47">
        <f>VLOOKUP($B716,[1]Complaints!$A$4:$AJ$39,8,)</f>
        <v>0</v>
      </c>
      <c r="E727" s="48">
        <f>VLOOKUP($B716,[2]Complaints!$A$4:$AJ$39,8,)</f>
        <v>0</v>
      </c>
      <c r="F727" s="48">
        <f>VLOOKUP($B716,[3]Complaints!$A$4:$AJ$39,8,)</f>
        <v>0</v>
      </c>
      <c r="G727" s="48">
        <f>VLOOKUP($B716,[4]Complaints!$A$4:$AJ$39,8,)</f>
        <v>0</v>
      </c>
      <c r="H727" s="48">
        <f>VLOOKUP($B716,[5]Complaints!$A$4:$AJ$39,8,)</f>
        <v>0</v>
      </c>
      <c r="I727" s="48">
        <f>VLOOKUP($B716,[6]Complaints!$A$4:$AJ$39,8,)</f>
        <v>0</v>
      </c>
      <c r="J727" s="48">
        <f>VLOOKUP($B716,[7]Complaints!$A$4:$AJ$39,8,)</f>
        <v>1</v>
      </c>
      <c r="K727" s="48">
        <f>VLOOKUP($B716,[8]Complaints!$A$4:$AJ$39,8,)</f>
        <v>1</v>
      </c>
      <c r="L727" s="48">
        <f>VLOOKUP($B716,[9]Complaints!$A$4:$AJ$39,8,)</f>
        <v>0</v>
      </c>
      <c r="M727" s="48">
        <f>VLOOKUP($B716,[10]Complaints!$A$4:$AJ$39,8,)</f>
        <v>0</v>
      </c>
      <c r="N727" s="48">
        <f>VLOOKUP($B716,[11]Complaints!$A$4:$AJ$39,8,)</f>
        <v>0</v>
      </c>
      <c r="O727" s="49">
        <f>VLOOKUP($B716,[12]Complaints!$A$4:$AJ$39,8,)</f>
        <v>0</v>
      </c>
      <c r="P727" s="55">
        <f t="shared" ref="P727:P728" si="192">SUM(D727:O727)</f>
        <v>2</v>
      </c>
      <c r="Q727" s="50">
        <f>IF(P727="","",P727/$P718)</f>
        <v>0.2857142857142857</v>
      </c>
      <c r="R727" s="18"/>
    </row>
    <row r="728" spans="2:18" ht="15.75" customHeight="1" x14ac:dyDescent="0.2">
      <c r="B728" s="169"/>
      <c r="C728" s="31" t="s">
        <v>88</v>
      </c>
      <c r="D728" s="47">
        <f>VLOOKUP($B716,[1]Complaints!$A$4:$AJ$39,9,)</f>
        <v>0</v>
      </c>
      <c r="E728" s="48">
        <f>VLOOKUP($B716,[2]Complaints!$A$4:$AJ$39,9,)</f>
        <v>0</v>
      </c>
      <c r="F728" s="48">
        <f>VLOOKUP($B716,[3]Complaints!$A$4:$AJ$39,9,)</f>
        <v>0</v>
      </c>
      <c r="G728" s="48">
        <f>VLOOKUP($B716,[4]Complaints!$A$4:$AJ$39,9,)</f>
        <v>0</v>
      </c>
      <c r="H728" s="48">
        <f>VLOOKUP($B716,[5]Complaints!$A$4:$AJ$39,9,)</f>
        <v>0</v>
      </c>
      <c r="I728" s="48">
        <f>VLOOKUP($B716,[6]Complaints!$A$4:$AJ$39,9,)</f>
        <v>0</v>
      </c>
      <c r="J728" s="48">
        <f>VLOOKUP($B716,[7]Complaints!$A$4:$AJ$39,9,)</f>
        <v>0</v>
      </c>
      <c r="K728" s="48">
        <f>VLOOKUP($B716,[8]Complaints!$A$4:$AJ$39,9,)</f>
        <v>0</v>
      </c>
      <c r="L728" s="48">
        <f>VLOOKUP($B716,[9]Complaints!$A$4:$AJ$39,9,)</f>
        <v>0</v>
      </c>
      <c r="M728" s="48">
        <f>VLOOKUP($B716,[10]Complaints!$A$4:$AJ$39,9,)</f>
        <v>0</v>
      </c>
      <c r="N728" s="48">
        <f>VLOOKUP($B716,[11]Complaints!$A$4:$AJ$39,9,)</f>
        <v>0</v>
      </c>
      <c r="O728" s="49">
        <f>VLOOKUP($B716,[12]Complaints!$A$4:$AJ$39,9,)</f>
        <v>0</v>
      </c>
      <c r="P728" s="55">
        <f t="shared" si="192"/>
        <v>0</v>
      </c>
      <c r="Q728" s="50" t="str">
        <f>IF(P728=0,"",P728/$P718)</f>
        <v/>
      </c>
      <c r="R728" s="18"/>
    </row>
    <row r="729" spans="2:18" ht="15.75" customHeight="1" x14ac:dyDescent="0.2">
      <c r="B729" s="169"/>
      <c r="C729" s="31" t="s">
        <v>13</v>
      </c>
      <c r="D729" s="47">
        <f>VLOOKUP($B716,[1]Complaints!$A$4:$AJ$39,10,)</f>
        <v>0</v>
      </c>
      <c r="E729" s="48">
        <f>VLOOKUP($B716,[2]Complaints!$A$4:$AJ$39,10,)</f>
        <v>0</v>
      </c>
      <c r="F729" s="48">
        <f>VLOOKUP($B716,[3]Complaints!$A$4:$AJ$39,10,)</f>
        <v>0</v>
      </c>
      <c r="G729" s="48">
        <f>VLOOKUP($B716,[4]Complaints!$A$4:$AJ$39,10,)</f>
        <v>0</v>
      </c>
      <c r="H729" s="48">
        <f>VLOOKUP($B716,[5]Complaints!$A$4:$AJ$39,10,)</f>
        <v>0</v>
      </c>
      <c r="I729" s="48">
        <f>VLOOKUP($B716,[6]Complaints!$A$4:$AJ$39,10,)</f>
        <v>0</v>
      </c>
      <c r="J729" s="48">
        <f>VLOOKUP($B716,[7]Complaints!$A$4:$AJ$39,10,)</f>
        <v>1</v>
      </c>
      <c r="K729" s="48">
        <f>VLOOKUP($B716,[8]Complaints!$A$4:$AJ$39,10,)</f>
        <v>2</v>
      </c>
      <c r="L729" s="48">
        <f>VLOOKUP($B716,[9]Complaints!$A$4:$AJ$39,10,)</f>
        <v>1</v>
      </c>
      <c r="M729" s="48">
        <f>VLOOKUP($B716,[10]Complaints!$A$4:$AJ$39,10,)</f>
        <v>0</v>
      </c>
      <c r="N729" s="48">
        <f>VLOOKUP($B716,[11]Complaints!$A$4:$AJ$39,10,)</f>
        <v>0</v>
      </c>
      <c r="O729" s="49">
        <f>VLOOKUP($B716,[12]Complaints!$A$4:$AJ$39,10,)</f>
        <v>0</v>
      </c>
      <c r="P729" s="55">
        <f>SUM(D729:O729)</f>
        <v>4</v>
      </c>
      <c r="Q729" s="50">
        <f>IF(P729=0,"",P729/$P718)</f>
        <v>0.5714285714285714</v>
      </c>
      <c r="R729" s="18"/>
    </row>
    <row r="730" spans="2:18" ht="15.75" customHeight="1" x14ac:dyDescent="0.2">
      <c r="B730" s="169"/>
      <c r="C730" s="31" t="s">
        <v>101</v>
      </c>
      <c r="D730" s="47">
        <f>VLOOKUP($B716,[1]Complaints!$A$4:$AJ$39,11,)</f>
        <v>0</v>
      </c>
      <c r="E730" s="48">
        <f>VLOOKUP($B716,[2]Complaints!$A$4:$AJ$39,11,)</f>
        <v>0</v>
      </c>
      <c r="F730" s="48">
        <f>VLOOKUP($B716,[3]Complaints!$A$4:$AJ$39,11,)</f>
        <v>0</v>
      </c>
      <c r="G730" s="48">
        <f>VLOOKUP($B716,[4]Complaints!$A$4:$AJ$39,11,)</f>
        <v>0</v>
      </c>
      <c r="H730" s="48">
        <f>VLOOKUP($B716,[5]Complaints!$A$4:$AJ$39,11,)</f>
        <v>0</v>
      </c>
      <c r="I730" s="48">
        <f>VLOOKUP($B716,[6]Complaints!$A$4:$AJ$39,11,)</f>
        <v>0</v>
      </c>
      <c r="J730" s="48">
        <f>VLOOKUP($B716,[7]Complaints!$A$4:$AJ$39,11,)</f>
        <v>0</v>
      </c>
      <c r="K730" s="48">
        <f>VLOOKUP($B716,[8]Complaints!$A$4:$AJ$39,11,)</f>
        <v>0</v>
      </c>
      <c r="L730" s="48">
        <f>VLOOKUP($B716,[9]Complaints!$A$4:$AJ$39,11,)</f>
        <v>0</v>
      </c>
      <c r="M730" s="48">
        <f>VLOOKUP($B716,[10]Complaints!$A$4:$AJ$39,11,)</f>
        <v>0</v>
      </c>
      <c r="N730" s="48">
        <f>VLOOKUP($B716,[11]Complaints!$A$4:$AJ$39,11,)</f>
        <v>0</v>
      </c>
      <c r="O730" s="49">
        <f>VLOOKUP($B716,[12]Complaints!$A$4:$AJ$39,11,)</f>
        <v>0</v>
      </c>
      <c r="P730" s="55">
        <f t="shared" ref="P730:P739" si="193">SUM(D730:O730)</f>
        <v>0</v>
      </c>
      <c r="Q730" s="50" t="str">
        <f>IF(P730=0,"",P730/$P718)</f>
        <v/>
      </c>
      <c r="R730" s="18"/>
    </row>
    <row r="731" spans="2:18" s="19" customFormat="1" ht="15.75" customHeight="1" x14ac:dyDescent="0.2">
      <c r="B731" s="169"/>
      <c r="C731" s="31" t="s">
        <v>93</v>
      </c>
      <c r="D731" s="47">
        <f>VLOOKUP($B716,[1]Complaints!$A$4:$AJ$39,12,)</f>
        <v>0</v>
      </c>
      <c r="E731" s="48">
        <f>VLOOKUP($B716,[2]Complaints!$A$4:$AJ$39,12,)</f>
        <v>0</v>
      </c>
      <c r="F731" s="48">
        <f>VLOOKUP($B716,[3]Complaints!$A$4:$AJ$39,12,)</f>
        <v>0</v>
      </c>
      <c r="G731" s="48">
        <f>VLOOKUP($B716,[4]Complaints!$A$4:$AJ$39,12,)</f>
        <v>0</v>
      </c>
      <c r="H731" s="48">
        <f>VLOOKUP($B716,[5]Complaints!$A$4:$AJ$39,12,)</f>
        <v>0</v>
      </c>
      <c r="I731" s="48">
        <f>VLOOKUP($B716,[6]Complaints!$A$4:$AJ$39,12,)</f>
        <v>0</v>
      </c>
      <c r="J731" s="48">
        <f>VLOOKUP($B716,[7]Complaints!$A$4:$AJ$39,12,)</f>
        <v>0</v>
      </c>
      <c r="K731" s="48">
        <f>VLOOKUP($B716,[8]Complaints!$A$4:$AJ$39,12,)</f>
        <v>0</v>
      </c>
      <c r="L731" s="48">
        <f>VLOOKUP($B716,[9]Complaints!$A$4:$AJ$39,12,)</f>
        <v>0</v>
      </c>
      <c r="M731" s="48">
        <f>VLOOKUP($B716,[10]Complaints!$A$4:$AJ$39,12,)</f>
        <v>0</v>
      </c>
      <c r="N731" s="48">
        <f>VLOOKUP($B716,[11]Complaints!$A$4:$AJ$39,12,)</f>
        <v>0</v>
      </c>
      <c r="O731" s="49">
        <f>VLOOKUP($B716,[12]Complaints!$A$4:$AJ$39,12,)</f>
        <v>0</v>
      </c>
      <c r="P731" s="55">
        <f t="shared" si="193"/>
        <v>0</v>
      </c>
      <c r="Q731" s="50" t="str">
        <f>IF(P731=0,"",P731/$P718)</f>
        <v/>
      </c>
    </row>
    <row r="732" spans="2:18" ht="15.75" customHeight="1" x14ac:dyDescent="0.2">
      <c r="B732" s="169"/>
      <c r="C732" s="31" t="s">
        <v>78</v>
      </c>
      <c r="D732" s="47">
        <f>VLOOKUP($B716,[1]Complaints!$A$4:$AJ$39,13,)</f>
        <v>0</v>
      </c>
      <c r="E732" s="48">
        <f>VLOOKUP($B716,[2]Complaints!$A$4:$AJ$39,13,)</f>
        <v>0</v>
      </c>
      <c r="F732" s="48">
        <f>VLOOKUP($B716,[3]Complaints!$A$4:$AJ$39,13,)</f>
        <v>0</v>
      </c>
      <c r="G732" s="48">
        <f>VLOOKUP($B716,[4]Complaints!$A$4:$AJ$39,13,)</f>
        <v>0</v>
      </c>
      <c r="H732" s="48">
        <f>VLOOKUP($B716,[5]Complaints!$A$4:$AJ$39,13,)</f>
        <v>0</v>
      </c>
      <c r="I732" s="48">
        <f>VLOOKUP($B716,[6]Complaints!$A$4:$AJ$39,13,)</f>
        <v>0</v>
      </c>
      <c r="J732" s="48">
        <f>VLOOKUP($B716,[7]Complaints!$A$4:$AJ$39,13,)</f>
        <v>0</v>
      </c>
      <c r="K732" s="48">
        <f>VLOOKUP($B716,[8]Complaints!$A$4:$AJ$39,13,)</f>
        <v>0</v>
      </c>
      <c r="L732" s="48">
        <f>VLOOKUP($B716,[9]Complaints!$A$4:$AJ$39,13,)</f>
        <v>0</v>
      </c>
      <c r="M732" s="48">
        <f>VLOOKUP($B716,[10]Complaints!$A$4:$AJ$39,13,)</f>
        <v>0</v>
      </c>
      <c r="N732" s="48">
        <f>VLOOKUP($B716,[11]Complaints!$A$4:$AJ$39,13,)</f>
        <v>0</v>
      </c>
      <c r="O732" s="49">
        <f>VLOOKUP($B716,[12]Complaints!$A$4:$AJ$39,13,)</f>
        <v>0</v>
      </c>
      <c r="P732" s="55">
        <f t="shared" si="193"/>
        <v>0</v>
      </c>
      <c r="Q732" s="50" t="str">
        <f>IF(P732=0,"",P732/$P718)</f>
        <v/>
      </c>
      <c r="R732" s="18"/>
    </row>
    <row r="733" spans="2:18" ht="15.75" customHeight="1" x14ac:dyDescent="0.2">
      <c r="B733" s="169"/>
      <c r="C733" s="31" t="s">
        <v>92</v>
      </c>
      <c r="D733" s="47">
        <f>VLOOKUP($B716,[1]Complaints!$A$4:$AJ$39,14,)</f>
        <v>0</v>
      </c>
      <c r="E733" s="48">
        <f>VLOOKUP($B716,[2]Complaints!$A$4:$AJ$39,14,)</f>
        <v>0</v>
      </c>
      <c r="F733" s="48">
        <f>VLOOKUP($B716,[3]Complaints!$A$4:$AJ$39,14,)</f>
        <v>0</v>
      </c>
      <c r="G733" s="48">
        <f>VLOOKUP($B716,[4]Complaints!$A$4:$AJ$39,14,)</f>
        <v>0</v>
      </c>
      <c r="H733" s="48">
        <f>VLOOKUP($B716,[5]Complaints!$A$4:$AJ$39,14,)</f>
        <v>0</v>
      </c>
      <c r="I733" s="48">
        <f>VLOOKUP($B716,[6]Complaints!$A$4:$AJ$39,14,)</f>
        <v>0</v>
      </c>
      <c r="J733" s="48">
        <f>VLOOKUP($B716,[7]Complaints!$A$4:$AJ$39,14,)</f>
        <v>0</v>
      </c>
      <c r="K733" s="48">
        <f>VLOOKUP($B716,[8]Complaints!$A$4:$AJ$39,14,)</f>
        <v>0</v>
      </c>
      <c r="L733" s="48">
        <f>VLOOKUP($B716,[9]Complaints!$A$4:$AJ$39,14,)</f>
        <v>0</v>
      </c>
      <c r="M733" s="48">
        <f>VLOOKUP($B716,[10]Complaints!$A$4:$AJ$39,14,)</f>
        <v>0</v>
      </c>
      <c r="N733" s="48">
        <f>VLOOKUP($B716,[11]Complaints!$A$4:$AJ$39,14,)</f>
        <v>0</v>
      </c>
      <c r="O733" s="49">
        <f>VLOOKUP($B716,[12]Complaints!$A$4:$AJ$39,14,)</f>
        <v>0</v>
      </c>
      <c r="P733" s="55">
        <f t="shared" si="193"/>
        <v>0</v>
      </c>
      <c r="Q733" s="50" t="str">
        <f>IF(P733=0,"",P733/$P718)</f>
        <v/>
      </c>
      <c r="R733" s="18"/>
    </row>
    <row r="734" spans="2:18" ht="15.75" customHeight="1" x14ac:dyDescent="0.2">
      <c r="B734" s="169"/>
      <c r="C734" s="31" t="s">
        <v>91</v>
      </c>
      <c r="D734" s="47">
        <f>VLOOKUP($B716,[1]Complaints!$A$4:$AJ$39,15,)</f>
        <v>0</v>
      </c>
      <c r="E734" s="48">
        <f>VLOOKUP($B716,[2]Complaints!$A$4:$AJ$39,15,)</f>
        <v>0</v>
      </c>
      <c r="F734" s="48">
        <f>VLOOKUP($B716,[3]Complaints!$A$4:$AJ$39,15,)</f>
        <v>0</v>
      </c>
      <c r="G734" s="48">
        <f>VLOOKUP($B716,[4]Complaints!$A$4:$AJ$39,15,)</f>
        <v>0</v>
      </c>
      <c r="H734" s="48">
        <f>VLOOKUP($B716,[5]Complaints!$A$4:$AJ$39,15,)</f>
        <v>0</v>
      </c>
      <c r="I734" s="48">
        <f>VLOOKUP($B716,[6]Complaints!$A$4:$AJ$39,15,)</f>
        <v>0</v>
      </c>
      <c r="J734" s="48">
        <f>VLOOKUP($B716,[7]Complaints!$A$4:$AJ$39,15,)</f>
        <v>1</v>
      </c>
      <c r="K734" s="48">
        <f>VLOOKUP($B716,[8]Complaints!$A$4:$AJ$39,15,)</f>
        <v>0</v>
      </c>
      <c r="L734" s="48">
        <f>VLOOKUP($B716,[9]Complaints!$A$4:$AJ$39,15,)</f>
        <v>0</v>
      </c>
      <c r="M734" s="48">
        <f>VLOOKUP($B716,[10]Complaints!$A$4:$AJ$39,15,)</f>
        <v>0</v>
      </c>
      <c r="N734" s="48">
        <f>VLOOKUP($B716,[11]Complaints!$A$4:$AJ$39,15,)</f>
        <v>0</v>
      </c>
      <c r="O734" s="49">
        <f>VLOOKUP($B716,[12]Complaints!$A$4:$AJ$39,15,)</f>
        <v>0</v>
      </c>
      <c r="P734" s="55">
        <f t="shared" si="193"/>
        <v>1</v>
      </c>
      <c r="Q734" s="50">
        <f>IF(P734=0,"",P734/$P718)</f>
        <v>0.14285714285714285</v>
      </c>
      <c r="R734" s="18"/>
    </row>
    <row r="735" spans="2:18" ht="15.75" customHeight="1" x14ac:dyDescent="0.2">
      <c r="B735" s="169"/>
      <c r="C735" s="31" t="s">
        <v>79</v>
      </c>
      <c r="D735" s="47">
        <f>VLOOKUP($B716,[1]Complaints!$A$4:$AJ$39,16,)</f>
        <v>0</v>
      </c>
      <c r="E735" s="48">
        <f>VLOOKUP($B716,[2]Complaints!$A$4:$AJ$39,16,)</f>
        <v>0</v>
      </c>
      <c r="F735" s="48">
        <f>VLOOKUP($B716,[3]Complaints!$A$4:$AJ$39,16,)</f>
        <v>0</v>
      </c>
      <c r="G735" s="48">
        <f>VLOOKUP($B716,[4]Complaints!$A$4:$AJ$39,16,)</f>
        <v>0</v>
      </c>
      <c r="H735" s="48">
        <f>VLOOKUP($B716,[5]Complaints!$A$4:$AJ$39,16,)</f>
        <v>0</v>
      </c>
      <c r="I735" s="48">
        <f>VLOOKUP($B716,[6]Complaints!$A$4:$AJ$39,16,)</f>
        <v>0</v>
      </c>
      <c r="J735" s="48">
        <f>VLOOKUP($B716,[7]Complaints!$A$4:$AJ$39,16,)</f>
        <v>0</v>
      </c>
      <c r="K735" s="48">
        <f>VLOOKUP($B716,[8]Complaints!$A$4:$AJ$39,16,)</f>
        <v>0</v>
      </c>
      <c r="L735" s="48">
        <f>VLOOKUP($B716,[9]Complaints!$A$4:$AJ$39,16,)</f>
        <v>0</v>
      </c>
      <c r="M735" s="48">
        <f>VLOOKUP($B716,[10]Complaints!$A$4:$AJ$39,16,)</f>
        <v>0</v>
      </c>
      <c r="N735" s="48">
        <f>VLOOKUP($B716,[11]Complaints!$A$4:$AJ$39,16,)</f>
        <v>0</v>
      </c>
      <c r="O735" s="49">
        <f>VLOOKUP($B716,[12]Complaints!$A$4:$AJ$39,16,)</f>
        <v>0</v>
      </c>
      <c r="P735" s="55">
        <f t="shared" si="193"/>
        <v>0</v>
      </c>
      <c r="Q735" s="50" t="str">
        <f>IF(P735=0,"",P735/$P718)</f>
        <v/>
      </c>
      <c r="R735" s="18"/>
    </row>
    <row r="736" spans="2:18" ht="15.75" customHeight="1" x14ac:dyDescent="0.2">
      <c r="B736" s="169"/>
      <c r="C736" s="31" t="s">
        <v>80</v>
      </c>
      <c r="D736" s="47">
        <f>VLOOKUP($B716,[1]Complaints!$A$4:$AJ$39,17,)</f>
        <v>0</v>
      </c>
      <c r="E736" s="48">
        <f>VLOOKUP($B716,[2]Complaints!$A$4:$AJ$39,17,)</f>
        <v>0</v>
      </c>
      <c r="F736" s="48">
        <f>VLOOKUP($B716,[3]Complaints!$A$4:$AJ$39,17,)</f>
        <v>0</v>
      </c>
      <c r="G736" s="48">
        <f>VLOOKUP($B716,[4]Complaints!$A$4:$AJ$39,17,)</f>
        <v>0</v>
      </c>
      <c r="H736" s="48">
        <f>VLOOKUP($B716,[5]Complaints!$A$4:$AJ$39,17,)</f>
        <v>0</v>
      </c>
      <c r="I736" s="48">
        <f>VLOOKUP($B716,[6]Complaints!$A$4:$AJ$39,17,)</f>
        <v>0</v>
      </c>
      <c r="J736" s="48">
        <f>VLOOKUP($B716,[7]Complaints!$A$4:$AJ$39,17,)</f>
        <v>0</v>
      </c>
      <c r="K736" s="48">
        <f>VLOOKUP($B716,[8]Complaints!$A$4:$AJ$39,17,)</f>
        <v>0</v>
      </c>
      <c r="L736" s="48">
        <f>VLOOKUP($B716,[9]Complaints!$A$4:$AJ$39,17,)</f>
        <v>0</v>
      </c>
      <c r="M736" s="48">
        <f>VLOOKUP($B716,[10]Complaints!$A$4:$AJ$39,17,)</f>
        <v>0</v>
      </c>
      <c r="N736" s="48">
        <f>VLOOKUP($B716,[11]Complaints!$A$4:$AJ$39,17,)</f>
        <v>0</v>
      </c>
      <c r="O736" s="49">
        <f>VLOOKUP($B716,[12]Complaints!$A$4:$AJ$39,17,)</f>
        <v>0</v>
      </c>
      <c r="P736" s="55">
        <f t="shared" si="193"/>
        <v>0</v>
      </c>
      <c r="Q736" s="50" t="str">
        <f>IF(P736=0,"",P736/$P718)</f>
        <v/>
      </c>
      <c r="R736" s="18"/>
    </row>
    <row r="737" spans="1:19" ht="15.75" customHeight="1" x14ac:dyDescent="0.2">
      <c r="B737" s="169"/>
      <c r="C737" s="31" t="s">
        <v>81</v>
      </c>
      <c r="D737" s="47">
        <f>VLOOKUP($B716,[1]Complaints!$A$4:$AJ$39,18,)</f>
        <v>0</v>
      </c>
      <c r="E737" s="48">
        <f>VLOOKUP($B716,[2]Complaints!$A$4:$AJ$39,18,)</f>
        <v>0</v>
      </c>
      <c r="F737" s="48">
        <f>VLOOKUP($B716,[3]Complaints!$A$4:$AJ$39,18,)</f>
        <v>0</v>
      </c>
      <c r="G737" s="48">
        <f>VLOOKUP($B716,[4]Complaints!$A$4:$AJ$39,18,)</f>
        <v>0</v>
      </c>
      <c r="H737" s="48">
        <f>VLOOKUP($B716,[5]Complaints!$A$4:$AJ$39,18,)</f>
        <v>0</v>
      </c>
      <c r="I737" s="48">
        <f>VLOOKUP($B716,[6]Complaints!$A$4:$AJ$39,18,)</f>
        <v>0</v>
      </c>
      <c r="J737" s="48">
        <f>VLOOKUP($B716,[7]Complaints!$A$4:$AJ$39,18,)</f>
        <v>0</v>
      </c>
      <c r="K737" s="48">
        <f>VLOOKUP($B716,[8]Complaints!$A$4:$AJ$39,18,)</f>
        <v>0</v>
      </c>
      <c r="L737" s="48">
        <f>VLOOKUP($B716,[9]Complaints!$A$4:$AJ$39,18,)</f>
        <v>0</v>
      </c>
      <c r="M737" s="48">
        <f>VLOOKUP($B716,[10]Complaints!$A$4:$AJ$39,18,)</f>
        <v>0</v>
      </c>
      <c r="N737" s="48">
        <f>VLOOKUP($B716,[11]Complaints!$A$4:$AJ$39,18,)</f>
        <v>0</v>
      </c>
      <c r="O737" s="49">
        <f>VLOOKUP($B716,[12]Complaints!$A$4:$AJ$39,18,)</f>
        <v>0</v>
      </c>
      <c r="P737" s="55">
        <f t="shared" si="193"/>
        <v>0</v>
      </c>
      <c r="Q737" s="50" t="str">
        <f>IF(P737=0,"",P737/$P718)</f>
        <v/>
      </c>
      <c r="R737" s="18"/>
    </row>
    <row r="738" spans="1:19" ht="15.75" customHeight="1" x14ac:dyDescent="0.2">
      <c r="B738" s="169"/>
      <c r="C738" s="31" t="s">
        <v>82</v>
      </c>
      <c r="D738" s="47">
        <f>VLOOKUP($B716,[1]Complaints!$A$4:$AJ$39,19,)</f>
        <v>0</v>
      </c>
      <c r="E738" s="48">
        <f>VLOOKUP($B716,[2]Complaints!$A$4:$AJ$39,19,)</f>
        <v>0</v>
      </c>
      <c r="F738" s="48">
        <f>VLOOKUP($B716,[3]Complaints!$A$4:$AJ$39,19,)</f>
        <v>0</v>
      </c>
      <c r="G738" s="48">
        <f>VLOOKUP($B716,[4]Complaints!$A$4:$AJ$39,19,)</f>
        <v>0</v>
      </c>
      <c r="H738" s="48">
        <f>VLOOKUP($B716,[5]Complaints!$A$4:$AJ$39,19,)</f>
        <v>0</v>
      </c>
      <c r="I738" s="48">
        <f>VLOOKUP($B716,[6]Complaints!$A$4:$AJ$39,19,)</f>
        <v>0</v>
      </c>
      <c r="J738" s="48">
        <f>VLOOKUP($B716,[7]Complaints!$A$4:$AJ$39,19,)</f>
        <v>0</v>
      </c>
      <c r="K738" s="48">
        <f>VLOOKUP($B716,[8]Complaints!$A$4:$AJ$39,19,)</f>
        <v>0</v>
      </c>
      <c r="L738" s="48">
        <f>VLOOKUP($B716,[9]Complaints!$A$4:$AJ$39,19,)</f>
        <v>0</v>
      </c>
      <c r="M738" s="48">
        <f>VLOOKUP($B716,[10]Complaints!$A$4:$AJ$39,19,)</f>
        <v>0</v>
      </c>
      <c r="N738" s="48">
        <f>VLOOKUP($B716,[11]Complaints!$A$4:$AJ$39,19,)</f>
        <v>0</v>
      </c>
      <c r="O738" s="49">
        <f>VLOOKUP($B716,[12]Complaints!$A$4:$AJ$39,19,)</f>
        <v>0</v>
      </c>
      <c r="P738" s="55">
        <f t="shared" si="193"/>
        <v>0</v>
      </c>
      <c r="Q738" s="50" t="str">
        <f>IF(P738=0,"",P738/$P718)</f>
        <v/>
      </c>
      <c r="R738" s="18"/>
    </row>
    <row r="739" spans="1:19" ht="15.75" customHeight="1" thickBot="1" x14ac:dyDescent="0.25">
      <c r="B739" s="170"/>
      <c r="C739" s="31" t="s">
        <v>83</v>
      </c>
      <c r="D739" s="47">
        <f>VLOOKUP($B716,[1]Complaints!$A$4:$AJ$39,20,)</f>
        <v>0</v>
      </c>
      <c r="E739" s="48">
        <f>VLOOKUP($B716,[2]Complaints!$A$4:$AJ$39,20,)</f>
        <v>0</v>
      </c>
      <c r="F739" s="48">
        <f>VLOOKUP($B716,[3]Complaints!$A$4:$AJ$39,20,)</f>
        <v>0</v>
      </c>
      <c r="G739" s="48">
        <f>VLOOKUP($B716,[4]Complaints!$A$4:$AJ$39,20,)</f>
        <v>0</v>
      </c>
      <c r="H739" s="48">
        <f>VLOOKUP($B716,[5]Complaints!$A$4:$AJ$39,20,)</f>
        <v>0</v>
      </c>
      <c r="I739" s="48">
        <f>VLOOKUP($B716,[6]Complaints!$A$4:$AJ$39,20,)</f>
        <v>0</v>
      </c>
      <c r="J739" s="48">
        <f>VLOOKUP($B716,[7]Complaints!$A$4:$AJ$39,20,)</f>
        <v>0</v>
      </c>
      <c r="K739" s="48">
        <f>VLOOKUP($B716,[8]Complaints!$A$4:$AJ$39,20,)</f>
        <v>0</v>
      </c>
      <c r="L739" s="48">
        <f>VLOOKUP($B716,[9]Complaints!$A$4:$AJ$39,20,)</f>
        <v>0</v>
      </c>
      <c r="M739" s="48">
        <f>VLOOKUP($B716,[10]Complaints!$A$4:$AJ$39,20,)</f>
        <v>0</v>
      </c>
      <c r="N739" s="48">
        <f>VLOOKUP($B716,[11]Complaints!$A$4:$AJ$39,20,)</f>
        <v>0</v>
      </c>
      <c r="O739" s="49">
        <f>VLOOKUP($B716,[12]Complaints!$A$4:$AJ$39,20,)</f>
        <v>0</v>
      </c>
      <c r="P739" s="55">
        <f t="shared" si="193"/>
        <v>0</v>
      </c>
      <c r="Q739" s="50" t="str">
        <f>IF(P739=0,"",P739/$P718)</f>
        <v/>
      </c>
      <c r="R739" s="18"/>
    </row>
    <row r="740" spans="1:19" ht="15.75" customHeight="1" x14ac:dyDescent="0.2">
      <c r="B740" s="144" t="s">
        <v>90</v>
      </c>
      <c r="C740" s="37" t="s">
        <v>118</v>
      </c>
      <c r="D740" s="62">
        <f>VLOOKUP($B716,[1]Complaints!$A$4:$AJ$39,21,)</f>
        <v>0</v>
      </c>
      <c r="E740" s="63">
        <f>VLOOKUP($B716,[2]Complaints!$A$4:$AJ$39,21,)</f>
        <v>0</v>
      </c>
      <c r="F740" s="63">
        <f>VLOOKUP($B716,[3]Complaints!$A$4:$AJ$39,21,)</f>
        <v>0</v>
      </c>
      <c r="G740" s="63">
        <f>VLOOKUP($B716,[4]Complaints!$A$4:$AJ$39,21,)</f>
        <v>0</v>
      </c>
      <c r="H740" s="63">
        <f>VLOOKUP($B716,[5]Complaints!$A$4:$AJ$39,21,)</f>
        <v>0</v>
      </c>
      <c r="I740" s="63">
        <f>VLOOKUP($B716,[6]Complaints!$A$4:$AJ$39,21,)</f>
        <v>0</v>
      </c>
      <c r="J740" s="63">
        <f>VLOOKUP($B716,[7]Complaints!$A$4:$AJ$39,21,)</f>
        <v>1</v>
      </c>
      <c r="K740" s="63">
        <f>VLOOKUP($B716,[8]Complaints!$A$4:$AJ$39,21,)</f>
        <v>1</v>
      </c>
      <c r="L740" s="63">
        <f>VLOOKUP($B716,[9]Complaints!$A$4:$AJ$39,21,)</f>
        <v>0</v>
      </c>
      <c r="M740" s="63">
        <f>VLOOKUP($B716,[10]Complaints!$A$4:$AJ$39,21,)</f>
        <v>0</v>
      </c>
      <c r="N740" s="63">
        <f>VLOOKUP($B716,[11]Complaints!$A$4:$AJ$39,21,)</f>
        <v>0</v>
      </c>
      <c r="O740" s="64">
        <f>VLOOKUP($B716,[12]Complaints!$A$4:$AJ$39,21,)</f>
        <v>0</v>
      </c>
      <c r="P740" s="65">
        <f>SUM(D740:O740)</f>
        <v>2</v>
      </c>
      <c r="Q740" s="46">
        <f>IF(P740=0,"",P740/$P724)</f>
        <v>1</v>
      </c>
      <c r="R740" s="18"/>
    </row>
    <row r="741" spans="1:19" ht="15.75" customHeight="1" x14ac:dyDescent="0.2">
      <c r="B741" s="145"/>
      <c r="C741" s="38" t="s">
        <v>77</v>
      </c>
      <c r="D741" s="66">
        <f>VLOOKUP($B716,[1]Complaints!$A$4:$AJ$39,22,)</f>
        <v>0</v>
      </c>
      <c r="E741" s="67">
        <f>VLOOKUP($B716,[2]Complaints!$A$4:$AJ$39,22,)</f>
        <v>0</v>
      </c>
      <c r="F741" s="67">
        <f>VLOOKUP($B716,[3]Complaints!$A$4:$AJ$39,22,)</f>
        <v>0</v>
      </c>
      <c r="G741" s="67">
        <f>VLOOKUP($B716,[4]Complaints!$A$4:$AJ$39,22,)</f>
        <v>0</v>
      </c>
      <c r="H741" s="67">
        <f>VLOOKUP($B716,[5]Complaints!$A$4:$AJ$39,22,)</f>
        <v>0</v>
      </c>
      <c r="I741" s="67">
        <f>VLOOKUP($B716,[6]Complaints!$A$4:$AJ$39,22,)</f>
        <v>0</v>
      </c>
      <c r="J741" s="67">
        <f>VLOOKUP($B716,[7]Complaints!$A$4:$AJ$39,22,)</f>
        <v>0</v>
      </c>
      <c r="K741" s="67">
        <f>VLOOKUP($B716,[8]Complaints!$A$4:$AJ$39,22,)</f>
        <v>0</v>
      </c>
      <c r="L741" s="67">
        <f>VLOOKUP($B716,[9]Complaints!$A$4:$AJ$39,22,)</f>
        <v>0</v>
      </c>
      <c r="M741" s="67">
        <f>VLOOKUP($B716,[10]Complaints!$A$4:$AJ$39,22,)</f>
        <v>0</v>
      </c>
      <c r="N741" s="67">
        <f>VLOOKUP($B716,[11]Complaints!$A$4:$AJ$39,22,)</f>
        <v>0</v>
      </c>
      <c r="O741" s="68">
        <f>VLOOKUP($B716,[12]Complaints!$A$4:$AJ$39,22,)</f>
        <v>0</v>
      </c>
      <c r="P741" s="69">
        <f t="shared" ref="P741:P755" si="194">SUM(D741:O741)</f>
        <v>0</v>
      </c>
      <c r="Q741" s="70" t="str">
        <f>IF(P741=0,"",P741/$P724)</f>
        <v/>
      </c>
      <c r="R741" s="18"/>
    </row>
    <row r="742" spans="1:19" ht="15.75" customHeight="1" x14ac:dyDescent="0.2">
      <c r="B742" s="145"/>
      <c r="C742" s="38" t="s">
        <v>108</v>
      </c>
      <c r="D742" s="66">
        <f>VLOOKUP($B716,[1]Complaints!$A$4:$AJ$39,23,)</f>
        <v>0</v>
      </c>
      <c r="E742" s="67">
        <f>VLOOKUP($B716,[2]Complaints!$A$4:$AJ$39,23,)</f>
        <v>0</v>
      </c>
      <c r="F742" s="67">
        <f>VLOOKUP($B716,[3]Complaints!$A$4:$AJ$39,23,)</f>
        <v>0</v>
      </c>
      <c r="G742" s="67">
        <f>VLOOKUP($B716,[4]Complaints!$A$4:$AJ$39,23,)</f>
        <v>0</v>
      </c>
      <c r="H742" s="67">
        <f>VLOOKUP($B716,[5]Complaints!$A$4:$AJ$39,23,)</f>
        <v>0</v>
      </c>
      <c r="I742" s="67">
        <f>VLOOKUP($B716,[6]Complaints!$A$4:$AJ$39,23,)</f>
        <v>0</v>
      </c>
      <c r="J742" s="67">
        <f>VLOOKUP($B716,[7]Complaints!$A$4:$AJ$39,23,)</f>
        <v>0</v>
      </c>
      <c r="K742" s="67">
        <f>VLOOKUP($B716,[8]Complaints!$A$4:$AJ$39,23,)</f>
        <v>0</v>
      </c>
      <c r="L742" s="67">
        <f>VLOOKUP($B716,[9]Complaints!$A$4:$AJ$39,23,)</f>
        <v>0</v>
      </c>
      <c r="M742" s="67">
        <f>VLOOKUP($B716,[10]Complaints!$A$4:$AJ$39,23,)</f>
        <v>0</v>
      </c>
      <c r="N742" s="67">
        <f>VLOOKUP($B716,[11]Complaints!$A$4:$AJ$39,23,)</f>
        <v>0</v>
      </c>
      <c r="O742" s="68">
        <f>VLOOKUP($B716,[12]Complaints!$A$4:$AJ$39,23,)</f>
        <v>0</v>
      </c>
      <c r="P742" s="69">
        <f t="shared" si="194"/>
        <v>0</v>
      </c>
      <c r="Q742" s="70" t="str">
        <f>IF(P742=0,"",P742/$P724)</f>
        <v/>
      </c>
      <c r="R742" s="18"/>
    </row>
    <row r="743" spans="1:19" ht="15.75" customHeight="1" x14ac:dyDescent="0.2">
      <c r="B743" s="145"/>
      <c r="C743" s="38" t="s">
        <v>88</v>
      </c>
      <c r="D743" s="66">
        <f>VLOOKUP($B716,[1]Complaints!$A$4:$AJ$39,24,)</f>
        <v>0</v>
      </c>
      <c r="E743" s="67">
        <f>VLOOKUP($B716,[2]Complaints!$A$4:$AJ$39,24,)</f>
        <v>0</v>
      </c>
      <c r="F743" s="67">
        <f>VLOOKUP($B716,[3]Complaints!$A$4:$AJ$39,24,)</f>
        <v>0</v>
      </c>
      <c r="G743" s="67">
        <f>VLOOKUP($B716,[4]Complaints!$A$4:$AJ$39,24,)</f>
        <v>0</v>
      </c>
      <c r="H743" s="67">
        <f>VLOOKUP($B716,[5]Complaints!$A$4:$AJ$39,24,)</f>
        <v>0</v>
      </c>
      <c r="I743" s="67">
        <f>VLOOKUP($B716,[6]Complaints!$A$4:$AJ$39,24,)</f>
        <v>0</v>
      </c>
      <c r="J743" s="67">
        <f>VLOOKUP($B716,[7]Complaints!$A$4:$AJ$39,24,)</f>
        <v>0</v>
      </c>
      <c r="K743" s="67">
        <f>VLOOKUP($B716,[8]Complaints!$A$4:$AJ$39,24,)</f>
        <v>0</v>
      </c>
      <c r="L743" s="67">
        <f>VLOOKUP($B716,[9]Complaints!$A$4:$AJ$39,24,)</f>
        <v>0</v>
      </c>
      <c r="M743" s="67">
        <f>VLOOKUP($B716,[10]Complaints!$A$4:$AJ$39,24,)</f>
        <v>0</v>
      </c>
      <c r="N743" s="67">
        <f>VLOOKUP($B716,[11]Complaints!$A$4:$AJ$39,24,)</f>
        <v>0</v>
      </c>
      <c r="O743" s="68">
        <f>VLOOKUP($B716,[12]Complaints!$A$4:$AJ$39,24,)</f>
        <v>0</v>
      </c>
      <c r="P743" s="69">
        <f t="shared" si="194"/>
        <v>0</v>
      </c>
      <c r="Q743" s="70" t="str">
        <f>IF(P743=0,"",P743/$P724)</f>
        <v/>
      </c>
      <c r="R743" s="18"/>
    </row>
    <row r="744" spans="1:19" ht="15.75" customHeight="1" x14ac:dyDescent="0.2">
      <c r="B744" s="145"/>
      <c r="C744" s="38" t="s">
        <v>109</v>
      </c>
      <c r="D744" s="66">
        <f>VLOOKUP($B716,[1]Complaints!$A$4:$AJ$39,25,)</f>
        <v>0</v>
      </c>
      <c r="E744" s="67">
        <f>VLOOKUP($B716,[2]Complaints!$A$4:$AJ$39,25,)</f>
        <v>0</v>
      </c>
      <c r="F744" s="67">
        <f>VLOOKUP($B716,[3]Complaints!$A$4:$AJ$39,25,)</f>
        <v>0</v>
      </c>
      <c r="G744" s="67">
        <f>VLOOKUP($B716,[4]Complaints!$A$4:$AJ$39,25,)</f>
        <v>0</v>
      </c>
      <c r="H744" s="67">
        <f>VLOOKUP($B716,[5]Complaints!$A$4:$AJ$39,25,)</f>
        <v>0</v>
      </c>
      <c r="I744" s="67">
        <f>VLOOKUP($B716,[6]Complaints!$A$4:$AJ$39,25,)</f>
        <v>0</v>
      </c>
      <c r="J744" s="67">
        <f>VLOOKUP($B716,[7]Complaints!$A$4:$AJ$39,25,)</f>
        <v>0</v>
      </c>
      <c r="K744" s="67">
        <f>VLOOKUP($B716,[8]Complaints!$A$4:$AJ$39,25,)</f>
        <v>0</v>
      </c>
      <c r="L744" s="67">
        <f>VLOOKUP($B716,[9]Complaints!$A$4:$AJ$39,25,)</f>
        <v>0</v>
      </c>
      <c r="M744" s="67">
        <f>VLOOKUP($B716,[10]Complaints!$A$4:$AJ$39,25,)</f>
        <v>0</v>
      </c>
      <c r="N744" s="67">
        <f>VLOOKUP($B716,[11]Complaints!$A$4:$AJ$39,25,)</f>
        <v>0</v>
      </c>
      <c r="O744" s="68">
        <f>VLOOKUP($B716,[12]Complaints!$A$4:$AJ$39,25,)</f>
        <v>0</v>
      </c>
      <c r="P744" s="69">
        <f t="shared" si="194"/>
        <v>0</v>
      </c>
      <c r="Q744" s="70" t="str">
        <f>IF(P744=0,"",P744/$P724)</f>
        <v/>
      </c>
      <c r="R744" s="18"/>
    </row>
    <row r="745" spans="1:19" ht="15.75" customHeight="1" x14ac:dyDescent="0.2">
      <c r="A745" s="21"/>
      <c r="B745" s="145"/>
      <c r="C745" s="38" t="s">
        <v>110</v>
      </c>
      <c r="D745" s="66">
        <f>VLOOKUP($B716,[1]Complaints!$A$4:$AJ$39,26,)</f>
        <v>0</v>
      </c>
      <c r="E745" s="67">
        <f>VLOOKUP($B716,[2]Complaints!$A$4:$AJ$39,26,)</f>
        <v>0</v>
      </c>
      <c r="F745" s="67">
        <f>VLOOKUP($B716,[3]Complaints!$A$4:$AJ$39,26,)</f>
        <v>0</v>
      </c>
      <c r="G745" s="67">
        <f>VLOOKUP($B716,[4]Complaints!$A$4:$AJ$39,26,)</f>
        <v>0</v>
      </c>
      <c r="H745" s="67">
        <f>VLOOKUP($B716,[5]Complaints!$A$4:$AJ$39,26,)</f>
        <v>0</v>
      </c>
      <c r="I745" s="67">
        <f>VLOOKUP($B716,[6]Complaints!$A$4:$AJ$39,26,)</f>
        <v>0</v>
      </c>
      <c r="J745" s="67">
        <f>VLOOKUP($B716,[7]Complaints!$A$4:$AJ$39,26,)</f>
        <v>1</v>
      </c>
      <c r="K745" s="67">
        <f>VLOOKUP($B716,[8]Complaints!$A$4:$AJ$39,26,)</f>
        <v>1</v>
      </c>
      <c r="L745" s="67">
        <f>VLOOKUP($B716,[9]Complaints!$A$4:$AJ$39,26,)</f>
        <v>0</v>
      </c>
      <c r="M745" s="67">
        <f>VLOOKUP($B716,[10]Complaints!$A$4:$AJ$39,26,)</f>
        <v>0</v>
      </c>
      <c r="N745" s="67">
        <f>VLOOKUP($B716,[11]Complaints!$A$4:$AJ$39,26,)</f>
        <v>0</v>
      </c>
      <c r="O745" s="68">
        <f>VLOOKUP($B716,[12]Complaints!$A$4:$AJ$39,26,)</f>
        <v>0</v>
      </c>
      <c r="P745" s="69">
        <f t="shared" si="194"/>
        <v>2</v>
      </c>
      <c r="Q745" s="70">
        <f>IF(P745=0,"",P745/$P724)</f>
        <v>1</v>
      </c>
      <c r="R745" s="18"/>
    </row>
    <row r="746" spans="1:19" s="21" customFormat="1" ht="15.75" customHeight="1" x14ac:dyDescent="0.2">
      <c r="B746" s="145"/>
      <c r="C746" s="39" t="s">
        <v>107</v>
      </c>
      <c r="D746" s="71">
        <f>VLOOKUP($B716,[1]Complaints!$A$4:$AJ$39,27,)</f>
        <v>0</v>
      </c>
      <c r="E746" s="72">
        <f>VLOOKUP($B716,[2]Complaints!$A$4:$AJ$39,27,)</f>
        <v>0</v>
      </c>
      <c r="F746" s="72">
        <f>VLOOKUP($B716,[3]Complaints!$A$4:$AJ$39,27,)</f>
        <v>0</v>
      </c>
      <c r="G746" s="72">
        <f>VLOOKUP($B716,[4]Complaints!$A$4:$AJ$39,27,)</f>
        <v>0</v>
      </c>
      <c r="H746" s="72">
        <f>VLOOKUP($B716,[5]Complaints!$A$4:$AJ$39,27,)</f>
        <v>0</v>
      </c>
      <c r="I746" s="72">
        <f>VLOOKUP($B716,[6]Complaints!$A$4:$AJ$39,27,)</f>
        <v>0</v>
      </c>
      <c r="J746" s="72">
        <f>VLOOKUP($B716,[7]Complaints!$A$4:$AJ$39,27,)</f>
        <v>0</v>
      </c>
      <c r="K746" s="72">
        <f>VLOOKUP($B716,[8]Complaints!$A$4:$AJ$39,27,)</f>
        <v>0</v>
      </c>
      <c r="L746" s="72">
        <f>VLOOKUP($B716,[9]Complaints!$A$4:$AJ$39,27,)</f>
        <v>0</v>
      </c>
      <c r="M746" s="72">
        <f>VLOOKUP($B716,[10]Complaints!$A$4:$AJ$39,27,)</f>
        <v>0</v>
      </c>
      <c r="N746" s="72">
        <f>VLOOKUP($B716,[11]Complaints!$A$4:$AJ$39,27,)</f>
        <v>0</v>
      </c>
      <c r="O746" s="73">
        <f>VLOOKUP($B716,[12]Complaints!$A$4:$AJ$39,27,)</f>
        <v>0</v>
      </c>
      <c r="P746" s="69">
        <f t="shared" si="194"/>
        <v>0</v>
      </c>
      <c r="Q746" s="70" t="str">
        <f>IF(P746=0,"",P746/$P724)</f>
        <v/>
      </c>
      <c r="S746" s="18"/>
    </row>
    <row r="747" spans="1:19" ht="15.75" customHeight="1" x14ac:dyDescent="0.2">
      <c r="B747" s="145"/>
      <c r="C747" s="39" t="s">
        <v>87</v>
      </c>
      <c r="D747" s="71">
        <f>VLOOKUP($B716,[1]Complaints!$A$4:$AJ$39,28,)</f>
        <v>0</v>
      </c>
      <c r="E747" s="72">
        <f>VLOOKUP($B716,[2]Complaints!$A$4:$AJ$39,28,)</f>
        <v>0</v>
      </c>
      <c r="F747" s="72">
        <f>VLOOKUP($B716,[3]Complaints!$A$4:$AJ$39,28,)</f>
        <v>0</v>
      </c>
      <c r="G747" s="72">
        <f>VLOOKUP($B716,[4]Complaints!$A$4:$AJ$39,28,)</f>
        <v>0</v>
      </c>
      <c r="H747" s="72">
        <f>VLOOKUP($B716,[5]Complaints!$A$4:$AJ$39,28,)</f>
        <v>0</v>
      </c>
      <c r="I747" s="72">
        <f>VLOOKUP($B716,[6]Complaints!$A$4:$AJ$39,28,)</f>
        <v>0</v>
      </c>
      <c r="J747" s="72">
        <f>VLOOKUP($B716,[7]Complaints!$A$4:$AJ$39,28,)</f>
        <v>0</v>
      </c>
      <c r="K747" s="72">
        <f>VLOOKUP($B716,[8]Complaints!$A$4:$AJ$39,28,)</f>
        <v>0</v>
      </c>
      <c r="L747" s="72">
        <f>VLOOKUP($B716,[9]Complaints!$A$4:$AJ$39,28,)</f>
        <v>0</v>
      </c>
      <c r="M747" s="72">
        <f>VLOOKUP($B716,[10]Complaints!$A$4:$AJ$39,28,)</f>
        <v>0</v>
      </c>
      <c r="N747" s="72">
        <f>VLOOKUP($B716,[11]Complaints!$A$4:$AJ$39,28,)</f>
        <v>0</v>
      </c>
      <c r="O747" s="73">
        <f>VLOOKUP($B716,[12]Complaints!$A$4:$AJ$39,28,)</f>
        <v>0</v>
      </c>
      <c r="P747" s="69">
        <f t="shared" si="194"/>
        <v>0</v>
      </c>
      <c r="Q747" s="70" t="str">
        <f>IF(P747=0,"",P747/$P724)</f>
        <v/>
      </c>
      <c r="R747" s="18"/>
    </row>
    <row r="748" spans="1:19" ht="15.75" customHeight="1" x14ac:dyDescent="0.2">
      <c r="B748" s="145"/>
      <c r="C748" s="38" t="s">
        <v>111</v>
      </c>
      <c r="D748" s="66">
        <f>VLOOKUP($B716,[1]Complaints!$A$4:$AJ$39,29,)</f>
        <v>0</v>
      </c>
      <c r="E748" s="67">
        <f>VLOOKUP($B716,[2]Complaints!$A$4:$AJ$39,29,)</f>
        <v>0</v>
      </c>
      <c r="F748" s="67">
        <f>VLOOKUP($B716,[3]Complaints!$A$4:$AJ$39,29,)</f>
        <v>0</v>
      </c>
      <c r="G748" s="67">
        <f>VLOOKUP($B716,[4]Complaints!$A$4:$AJ$39,29,)</f>
        <v>0</v>
      </c>
      <c r="H748" s="67">
        <f>VLOOKUP($B716,[5]Complaints!$A$4:$AJ$39,29,)</f>
        <v>0</v>
      </c>
      <c r="I748" s="67">
        <f>VLOOKUP($B716,[6]Complaints!$A$4:$AJ$39,29,)</f>
        <v>0</v>
      </c>
      <c r="J748" s="67">
        <f>VLOOKUP($B716,[7]Complaints!$A$4:$AJ$39,29,)</f>
        <v>0</v>
      </c>
      <c r="K748" s="67">
        <f>VLOOKUP($B716,[8]Complaints!$A$4:$AJ$39,29,)</f>
        <v>0</v>
      </c>
      <c r="L748" s="67">
        <f>VLOOKUP($B716,[9]Complaints!$A$4:$AJ$39,29,)</f>
        <v>0</v>
      </c>
      <c r="M748" s="67">
        <f>VLOOKUP($B716,[10]Complaints!$A$4:$AJ$39,29,)</f>
        <v>0</v>
      </c>
      <c r="N748" s="67">
        <f>VLOOKUP($B716,[11]Complaints!$A$4:$AJ$39,29,)</f>
        <v>0</v>
      </c>
      <c r="O748" s="68">
        <f>VLOOKUP($B716,[12]Complaints!$A$4:$AJ$39,29,)</f>
        <v>0</v>
      </c>
      <c r="P748" s="69">
        <f t="shared" si="194"/>
        <v>0</v>
      </c>
      <c r="Q748" s="70" t="str">
        <f>IF(P748=0,"",P748/$P724)</f>
        <v/>
      </c>
      <c r="R748" s="18"/>
    </row>
    <row r="749" spans="1:19" ht="15.75" customHeight="1" x14ac:dyDescent="0.2">
      <c r="B749" s="145"/>
      <c r="C749" s="38" t="s">
        <v>112</v>
      </c>
      <c r="D749" s="66">
        <f>VLOOKUP($B716,[1]Complaints!$A$4:$AJ$39,30,)</f>
        <v>0</v>
      </c>
      <c r="E749" s="67">
        <f>VLOOKUP($B716,[2]Complaints!$A$4:$AJ$39,30,)</f>
        <v>0</v>
      </c>
      <c r="F749" s="67">
        <f>VLOOKUP($B716,[3]Complaints!$A$4:$AJ$39,30,)</f>
        <v>0</v>
      </c>
      <c r="G749" s="67">
        <f>VLOOKUP($B716,[4]Complaints!$A$4:$AJ$39,30,)</f>
        <v>0</v>
      </c>
      <c r="H749" s="67">
        <f>VLOOKUP($B716,[5]Complaints!$A$4:$AJ$39,30,)</f>
        <v>0</v>
      </c>
      <c r="I749" s="67">
        <f>VLOOKUP($B716,[6]Complaints!$A$4:$AJ$39,30,)</f>
        <v>0</v>
      </c>
      <c r="J749" s="67">
        <f>VLOOKUP($B716,[7]Complaints!$A$4:$AJ$39,30,)</f>
        <v>0</v>
      </c>
      <c r="K749" s="67">
        <f>VLOOKUP($B716,[8]Complaints!$A$4:$AJ$39,30,)</f>
        <v>0</v>
      </c>
      <c r="L749" s="67">
        <f>VLOOKUP($B716,[9]Complaints!$A$4:$AJ$39,30,)</f>
        <v>0</v>
      </c>
      <c r="M749" s="67">
        <f>VLOOKUP($B716,[10]Complaints!$A$4:$AJ$39,30,)</f>
        <v>0</v>
      </c>
      <c r="N749" s="67">
        <f>VLOOKUP($B716,[11]Complaints!$A$4:$AJ$39,30,)</f>
        <v>0</v>
      </c>
      <c r="O749" s="68">
        <f>VLOOKUP($B716,[12]Complaints!$A$4:$AJ$39,30,)</f>
        <v>0</v>
      </c>
      <c r="P749" s="69">
        <f t="shared" si="194"/>
        <v>0</v>
      </c>
      <c r="Q749" s="70" t="str">
        <f>IF(P749=0,"",P749/$P724)</f>
        <v/>
      </c>
      <c r="R749" s="18"/>
    </row>
    <row r="750" spans="1:19" ht="15.75" customHeight="1" x14ac:dyDescent="0.2">
      <c r="B750" s="146"/>
      <c r="C750" s="40" t="s">
        <v>119</v>
      </c>
      <c r="D750" s="74">
        <f>VLOOKUP($B716,[1]Complaints!$A$4:$AJ$39,31,)</f>
        <v>0</v>
      </c>
      <c r="E750" s="75">
        <f>VLOOKUP($B716,[2]Complaints!$A$4:$AJ$39,31,)</f>
        <v>0</v>
      </c>
      <c r="F750" s="75">
        <f>VLOOKUP($B716,[3]Complaints!$A$4:$AJ$39,31,)</f>
        <v>0</v>
      </c>
      <c r="G750" s="75">
        <f>VLOOKUP($B716,[4]Complaints!$A$4:$AJ$39,31,)</f>
        <v>0</v>
      </c>
      <c r="H750" s="75">
        <f>VLOOKUP($B716,[5]Complaints!$A$4:$AJ$39,31,)</f>
        <v>0</v>
      </c>
      <c r="I750" s="75">
        <f>VLOOKUP($B716,[6]Complaints!$A$4:$AJ$39,31,)</f>
        <v>0</v>
      </c>
      <c r="J750" s="75">
        <f>VLOOKUP($B716,[7]Complaints!$A$4:$AJ$39,31,)</f>
        <v>0</v>
      </c>
      <c r="K750" s="75">
        <f>VLOOKUP($B716,[8]Complaints!$A$4:$AJ$39,31,)</f>
        <v>0</v>
      </c>
      <c r="L750" s="75">
        <f>VLOOKUP($B716,[9]Complaints!$A$4:$AJ$39,31,)</f>
        <v>0</v>
      </c>
      <c r="M750" s="75">
        <f>VLOOKUP($B716,[10]Complaints!$A$4:$AJ$39,31,)</f>
        <v>0</v>
      </c>
      <c r="N750" s="75">
        <f>VLOOKUP($B716,[11]Complaints!$A$4:$AJ$39,31,)</f>
        <v>0</v>
      </c>
      <c r="O750" s="76">
        <f>VLOOKUP($B716,[12]Complaints!$A$4:$AJ$39,31,)</f>
        <v>0</v>
      </c>
      <c r="P750" s="77">
        <f t="shared" si="194"/>
        <v>0</v>
      </c>
      <c r="Q750" s="50" t="str">
        <f>IF(P750=0,"",P750/$P724)</f>
        <v/>
      </c>
      <c r="R750" s="18"/>
    </row>
    <row r="751" spans="1:19" ht="15.75" customHeight="1" x14ac:dyDescent="0.2">
      <c r="B751" s="146"/>
      <c r="C751" s="38" t="s">
        <v>113</v>
      </c>
      <c r="D751" s="66">
        <f>VLOOKUP($B716,[1]Complaints!$A$4:$AJ$39,32,)</f>
        <v>0</v>
      </c>
      <c r="E751" s="67">
        <f>VLOOKUP($B716,[2]Complaints!$A$4:$AJ$39,32,)</f>
        <v>0</v>
      </c>
      <c r="F751" s="67">
        <f>VLOOKUP($B716,[3]Complaints!$A$4:$AJ$39,32,)</f>
        <v>0</v>
      </c>
      <c r="G751" s="67">
        <f>VLOOKUP($B716,[4]Complaints!$A$4:$AJ$39,32,)</f>
        <v>0</v>
      </c>
      <c r="H751" s="67">
        <f>VLOOKUP($B716,[5]Complaints!$A$4:$AJ$39,32,)</f>
        <v>0</v>
      </c>
      <c r="I751" s="67">
        <f>VLOOKUP($B716,[6]Complaints!$A$4:$AJ$39,32,)</f>
        <v>0</v>
      </c>
      <c r="J751" s="67">
        <f>VLOOKUP($B716,[7]Complaints!$A$4:$AJ$39,32,)</f>
        <v>0</v>
      </c>
      <c r="K751" s="67">
        <f>VLOOKUP($B716,[8]Complaints!$A$4:$AJ$39,32,)</f>
        <v>0</v>
      </c>
      <c r="L751" s="67">
        <f>VLOOKUP($B716,[9]Complaints!$A$4:$AJ$39,32,)</f>
        <v>0</v>
      </c>
      <c r="M751" s="67">
        <f>VLOOKUP($B716,[10]Complaints!$A$4:$AJ$39,32,)</f>
        <v>0</v>
      </c>
      <c r="N751" s="67">
        <f>VLOOKUP($B716,[11]Complaints!$A$4:$AJ$39,32,)</f>
        <v>0</v>
      </c>
      <c r="O751" s="68">
        <f>VLOOKUP($B716,[12]Complaints!$A$4:$AJ$39,32,)</f>
        <v>0</v>
      </c>
      <c r="P751" s="69">
        <f t="shared" si="194"/>
        <v>0</v>
      </c>
      <c r="Q751" s="70" t="str">
        <f>IF(P751=0,"",P751/$P724)</f>
        <v/>
      </c>
      <c r="R751" s="18"/>
    </row>
    <row r="752" spans="1:19" ht="15.75" customHeight="1" x14ac:dyDescent="0.2">
      <c r="B752" s="146"/>
      <c r="C752" s="38" t="s">
        <v>114</v>
      </c>
      <c r="D752" s="66">
        <f>VLOOKUP($B716,[1]Complaints!$A$4:$AJ$39,33,)</f>
        <v>0</v>
      </c>
      <c r="E752" s="67">
        <f>VLOOKUP($B716,[2]Complaints!$A$4:$AJ$39,33,)</f>
        <v>0</v>
      </c>
      <c r="F752" s="67">
        <f>VLOOKUP($B716,[3]Complaints!$A$4:$AJ$39,33,)</f>
        <v>0</v>
      </c>
      <c r="G752" s="67">
        <f>VLOOKUP($B716,[4]Complaints!$A$4:$AJ$39,33,)</f>
        <v>0</v>
      </c>
      <c r="H752" s="67">
        <f>VLOOKUP($B716,[5]Complaints!$A$4:$AJ$39,33,)</f>
        <v>0</v>
      </c>
      <c r="I752" s="67">
        <f>VLOOKUP($B716,[6]Complaints!$A$4:$AJ$39,33,)</f>
        <v>0</v>
      </c>
      <c r="J752" s="67">
        <f>VLOOKUP($B716,[7]Complaints!$A$4:$AJ$39,33,)</f>
        <v>0</v>
      </c>
      <c r="K752" s="67">
        <f>VLOOKUP($B716,[8]Complaints!$A$4:$AJ$39,33,)</f>
        <v>0</v>
      </c>
      <c r="L752" s="67">
        <f>VLOOKUP($B716,[9]Complaints!$A$4:$AJ$39,33,)</f>
        <v>0</v>
      </c>
      <c r="M752" s="67">
        <f>VLOOKUP($B716,[10]Complaints!$A$4:$AJ$39,33,)</f>
        <v>0</v>
      </c>
      <c r="N752" s="67">
        <f>VLOOKUP($B716,[11]Complaints!$A$4:$AJ$39,33,)</f>
        <v>0</v>
      </c>
      <c r="O752" s="68">
        <f>VLOOKUP($B716,[12]Complaints!$A$4:$AJ$39,33,)</f>
        <v>0</v>
      </c>
      <c r="P752" s="69">
        <f t="shared" si="194"/>
        <v>0</v>
      </c>
      <c r="Q752" s="70" t="str">
        <f>IF(P752=0,"",P752/$P724)</f>
        <v/>
      </c>
      <c r="R752" s="18"/>
    </row>
    <row r="753" spans="2:18" ht="15.75" customHeight="1" x14ac:dyDescent="0.2">
      <c r="B753" s="146"/>
      <c r="C753" s="38" t="s">
        <v>115</v>
      </c>
      <c r="D753" s="66">
        <f>VLOOKUP($B716,[1]Complaints!$A$4:$AJ$39,34,)</f>
        <v>0</v>
      </c>
      <c r="E753" s="67">
        <f>VLOOKUP($B716,[2]Complaints!$A$4:$AJ$39,34,)</f>
        <v>0</v>
      </c>
      <c r="F753" s="67">
        <f>VLOOKUP($B716,[3]Complaints!$A$4:$AJ$39,34,)</f>
        <v>0</v>
      </c>
      <c r="G753" s="67">
        <f>VLOOKUP($B716,[4]Complaints!$A$4:$AJ$39,34,)</f>
        <v>0</v>
      </c>
      <c r="H753" s="67">
        <f>VLOOKUP($B716,[5]Complaints!$A$4:$AJ$39,34,)</f>
        <v>0</v>
      </c>
      <c r="I753" s="67">
        <f>VLOOKUP($B716,[6]Complaints!$A$4:$AJ$39,34,)</f>
        <v>0</v>
      </c>
      <c r="J753" s="67">
        <f>VLOOKUP($B716,[7]Complaints!$A$4:$AJ$39,34,)</f>
        <v>0</v>
      </c>
      <c r="K753" s="67">
        <f>VLOOKUP($B716,[8]Complaints!$A$4:$AJ$39,34,)</f>
        <v>0</v>
      </c>
      <c r="L753" s="67">
        <f>VLOOKUP($B716,[9]Complaints!$A$4:$AJ$39,34,)</f>
        <v>0</v>
      </c>
      <c r="M753" s="67">
        <f>VLOOKUP($B716,[10]Complaints!$A$4:$AJ$39,34,)</f>
        <v>0</v>
      </c>
      <c r="N753" s="67">
        <f>VLOOKUP($B716,[11]Complaints!$A$4:$AJ$39,34,)</f>
        <v>0</v>
      </c>
      <c r="O753" s="68">
        <f>VLOOKUP($B716,[12]Complaints!$A$4:$AJ$39,34,)</f>
        <v>0</v>
      </c>
      <c r="P753" s="69">
        <f t="shared" si="194"/>
        <v>0</v>
      </c>
      <c r="Q753" s="70" t="str">
        <f>IF(P753=0,"",P753/$P724)</f>
        <v/>
      </c>
      <c r="R753" s="18"/>
    </row>
    <row r="754" spans="2:18" ht="15.75" customHeight="1" x14ac:dyDescent="0.2">
      <c r="B754" s="146"/>
      <c r="C754" s="38" t="s">
        <v>116</v>
      </c>
      <c r="D754" s="66">
        <f>VLOOKUP($B716,[1]Complaints!$A$4:$AJ$39,35,)</f>
        <v>0</v>
      </c>
      <c r="E754" s="67">
        <f>VLOOKUP($B716,[2]Complaints!$A$4:$AJ$39,35,)</f>
        <v>0</v>
      </c>
      <c r="F754" s="67">
        <f>VLOOKUP($B716,[3]Complaints!$A$4:$AJ$39,35,)</f>
        <v>0</v>
      </c>
      <c r="G754" s="67">
        <f>VLOOKUP($B716,[4]Complaints!$A$4:$AJ$39,35,)</f>
        <v>0</v>
      </c>
      <c r="H754" s="67">
        <f>VLOOKUP($B716,[5]Complaints!$A$4:$AJ$39,35,)</f>
        <v>0</v>
      </c>
      <c r="I754" s="67">
        <f>VLOOKUP($B716,[6]Complaints!$A$4:$AJ$39,35,)</f>
        <v>0</v>
      </c>
      <c r="J754" s="67">
        <f>VLOOKUP($B716,[7]Complaints!$A$4:$AJ$39,35,)</f>
        <v>0</v>
      </c>
      <c r="K754" s="67">
        <f>VLOOKUP($B716,[8]Complaints!$A$4:$AJ$39,35,)</f>
        <v>0</v>
      </c>
      <c r="L754" s="67">
        <f>VLOOKUP($B716,[9]Complaints!$A$4:$AJ$39,35,)</f>
        <v>0</v>
      </c>
      <c r="M754" s="67">
        <f>VLOOKUP($B716,[10]Complaints!$A$4:$AJ$39,35,)</f>
        <v>0</v>
      </c>
      <c r="N754" s="67">
        <f>VLOOKUP($B716,[11]Complaints!$A$4:$AJ$39,35,)</f>
        <v>0</v>
      </c>
      <c r="O754" s="68">
        <f>VLOOKUP($B716,[12]Complaints!$A$4:$AJ$39,35,)</f>
        <v>0</v>
      </c>
      <c r="P754" s="69">
        <f t="shared" si="194"/>
        <v>0</v>
      </c>
      <c r="Q754" s="70" t="str">
        <f>IF(P754=0,"",P754/$P724)</f>
        <v/>
      </c>
      <c r="R754" s="18"/>
    </row>
    <row r="755" spans="2:18" ht="15.75" customHeight="1" thickBot="1" x14ac:dyDescent="0.25">
      <c r="B755" s="147"/>
      <c r="C755" s="41" t="s">
        <v>117</v>
      </c>
      <c r="D755" s="78">
        <f>VLOOKUP($B716,[1]Complaints!$A$4:$AJ$39,36,)</f>
        <v>0</v>
      </c>
      <c r="E755" s="79">
        <f>VLOOKUP($B716,[2]Complaints!$A$4:$AJ$39,36,)</f>
        <v>0</v>
      </c>
      <c r="F755" s="79">
        <f>VLOOKUP($B716,[3]Complaints!$A$4:$AJ$39,36,)</f>
        <v>0</v>
      </c>
      <c r="G755" s="79">
        <f>VLOOKUP($B716,[4]Complaints!$A$4:$AJ$39,36,)</f>
        <v>0</v>
      </c>
      <c r="H755" s="79">
        <f>VLOOKUP($B716,[5]Complaints!$A$4:$AJ$39,36,)</f>
        <v>0</v>
      </c>
      <c r="I755" s="79">
        <f>VLOOKUP($B716,[6]Complaints!$A$4:$AJ$39,36,)</f>
        <v>0</v>
      </c>
      <c r="J755" s="79">
        <f>VLOOKUP($B716,[7]Complaints!$A$4:$AJ$39,36,)</f>
        <v>0</v>
      </c>
      <c r="K755" s="79">
        <f>VLOOKUP($B716,[8]Complaints!$A$4:$AJ$39,36,)</f>
        <v>0</v>
      </c>
      <c r="L755" s="79">
        <f>VLOOKUP($B716,[9]Complaints!$A$4:$AJ$39,36,)</f>
        <v>0</v>
      </c>
      <c r="M755" s="79">
        <f>VLOOKUP($B716,[10]Complaints!$A$4:$AJ$39,36,)</f>
        <v>0</v>
      </c>
      <c r="N755" s="79">
        <f>VLOOKUP($B716,[11]Complaints!$A$4:$AJ$39,36,)</f>
        <v>0</v>
      </c>
      <c r="O755" s="80">
        <f>VLOOKUP($B716,[12]Complaints!$A$4:$AJ$39,36,)</f>
        <v>0</v>
      </c>
      <c r="P755" s="81">
        <f t="shared" si="194"/>
        <v>0</v>
      </c>
      <c r="Q755" s="82" t="str">
        <f>IF(P755=0,"",P755/$P724)</f>
        <v/>
      </c>
      <c r="R755" s="18"/>
    </row>
    <row r="756" spans="2:18" ht="15.75" customHeight="1" thickBot="1" x14ac:dyDescent="0.25">
      <c r="R756" s="18"/>
    </row>
    <row r="757" spans="2:18" ht="15.75" customHeight="1" x14ac:dyDescent="0.25">
      <c r="B757" s="158" t="s">
        <v>27</v>
      </c>
      <c r="C757" s="159"/>
      <c r="D757" s="32" t="s">
        <v>0</v>
      </c>
      <c r="E757" s="20" t="s">
        <v>1</v>
      </c>
      <c r="F757" s="20" t="s">
        <v>2</v>
      </c>
      <c r="G757" s="20" t="s">
        <v>3</v>
      </c>
      <c r="H757" s="20" t="s">
        <v>4</v>
      </c>
      <c r="I757" s="20" t="s">
        <v>5</v>
      </c>
      <c r="J757" s="20" t="s">
        <v>6</v>
      </c>
      <c r="K757" s="20" t="s">
        <v>7</v>
      </c>
      <c r="L757" s="20" t="s">
        <v>8</v>
      </c>
      <c r="M757" s="20" t="s">
        <v>9</v>
      </c>
      <c r="N757" s="20" t="s">
        <v>10</v>
      </c>
      <c r="O757" s="33" t="s">
        <v>11</v>
      </c>
      <c r="P757" s="35" t="s">
        <v>12</v>
      </c>
      <c r="Q757" s="160" t="s">
        <v>104</v>
      </c>
      <c r="R757" s="18"/>
    </row>
    <row r="758" spans="2:18" ht="15.75" customHeight="1" thickBot="1" x14ac:dyDescent="0.3">
      <c r="B758" s="162" t="s">
        <v>58</v>
      </c>
      <c r="C758" s="163"/>
      <c r="D758" s="34">
        <v>2020</v>
      </c>
      <c r="E758" s="34">
        <v>2020</v>
      </c>
      <c r="F758" s="34">
        <v>2020</v>
      </c>
      <c r="G758" s="34">
        <v>2020</v>
      </c>
      <c r="H758" s="34">
        <v>2020</v>
      </c>
      <c r="I758" s="34">
        <v>2020</v>
      </c>
      <c r="J758" s="34">
        <v>2020</v>
      </c>
      <c r="K758" s="34">
        <v>2020</v>
      </c>
      <c r="L758" s="34">
        <v>2020</v>
      </c>
      <c r="M758" s="25">
        <v>2021</v>
      </c>
      <c r="N758" s="25">
        <v>2021</v>
      </c>
      <c r="O758" s="25">
        <v>2021</v>
      </c>
      <c r="P758" s="36" t="s">
        <v>122</v>
      </c>
      <c r="Q758" s="161"/>
      <c r="R758" s="18"/>
    </row>
    <row r="759" spans="2:18" ht="12.75" customHeight="1" thickBot="1" x14ac:dyDescent="0.25">
      <c r="B759" s="164" t="s">
        <v>38</v>
      </c>
      <c r="C759" s="165"/>
      <c r="D759" s="42">
        <f>VLOOKUP($B758,[1]Complaints!$A$4:$AJ$39,2,)</f>
        <v>464</v>
      </c>
      <c r="E759" s="43">
        <f>VLOOKUP($B758,[2]Complaints!$A$4:$AJ$39,2,)</f>
        <v>759</v>
      </c>
      <c r="F759" s="43">
        <f>VLOOKUP($B758,[3]Complaints!$A$4:$AJ$39,2)</f>
        <v>1141</v>
      </c>
      <c r="G759" s="43">
        <f>VLOOKUP($B758,[4]Complaints!$A$4:$AJ$39,2)</f>
        <v>1771</v>
      </c>
      <c r="H759" s="43">
        <f>VLOOKUP($B758,[5]Complaints!$A$4:$AJ$39,2)</f>
        <v>2007</v>
      </c>
      <c r="I759" s="43">
        <f>VLOOKUP($B758,[6]Complaints!$A$4:$AJ$39,2)</f>
        <v>2145</v>
      </c>
      <c r="J759" s="43">
        <f>VLOOKUP($B758,[7]Complaints!$A$4:$AJ$39,2)</f>
        <v>2085</v>
      </c>
      <c r="K759" s="43">
        <f>VLOOKUP($B758,[8]Complaints!$A$4:$AJ$39,2)</f>
        <v>2085</v>
      </c>
      <c r="L759" s="43">
        <f>VLOOKUP($B758,[9]Complaints!$A$4:$AJ$39,2)</f>
        <v>1894</v>
      </c>
      <c r="M759" s="43">
        <f>VLOOKUP($B758,[10]Complaints!$A$4:$AJ$39,2)</f>
        <v>1504</v>
      </c>
      <c r="N759" s="43">
        <f>VLOOKUP($B758,[11]Complaints!$A$4:$AJ$39,2)</f>
        <v>0</v>
      </c>
      <c r="O759" s="44">
        <f>VLOOKUP($B758,[12]Complaints!$A$4:$AJ$39,2)</f>
        <v>0</v>
      </c>
      <c r="P759" s="45">
        <f>SUM(D759:O759)</f>
        <v>15855</v>
      </c>
      <c r="Q759" s="46"/>
      <c r="R759" s="18"/>
    </row>
    <row r="760" spans="2:18" ht="15.75" customHeight="1" x14ac:dyDescent="0.2">
      <c r="B760" s="166" t="s">
        <v>94</v>
      </c>
      <c r="C760" s="167"/>
      <c r="D760" s="47">
        <f>VLOOKUP($B758,[1]Complaints!$A$4:$AF$39,3,)</f>
        <v>0</v>
      </c>
      <c r="E760" s="48">
        <f>VLOOKUP($B758,[2]Complaints!$A$4:$AF$39,3,)</f>
        <v>1</v>
      </c>
      <c r="F760" s="48">
        <f>VLOOKUP($B758,[3]Complaints!$A$4:$AG$39,3,)</f>
        <v>4</v>
      </c>
      <c r="G760" s="48">
        <f>VLOOKUP($B758,[4]Complaints!$A$4:$AG$39,3,)</f>
        <v>1</v>
      </c>
      <c r="H760" s="48">
        <f>VLOOKUP($B758,[5]Complaints!$A$4:$AG$39,3,)</f>
        <v>5</v>
      </c>
      <c r="I760" s="48">
        <f>VLOOKUP($B758,[6]Complaints!$A$4:$AG$39,3,)</f>
        <v>3</v>
      </c>
      <c r="J760" s="48">
        <f>VLOOKUP($B758,[7]Complaints!$A$4:$AG$39,3,)</f>
        <v>1</v>
      </c>
      <c r="K760" s="48">
        <f>VLOOKUP($B758,[8]Complaints!$A$4:$AG$39,3,)</f>
        <v>1</v>
      </c>
      <c r="L760" s="48">
        <f>VLOOKUP($B758,[9]Complaints!$A$4:$AG$39,3,)</f>
        <v>2</v>
      </c>
      <c r="M760" s="48">
        <f>VLOOKUP($B758,[10]Complaints!$A$4:$AG$39,3,)</f>
        <v>2</v>
      </c>
      <c r="N760" s="48">
        <f>VLOOKUP($B758,[11]Complaints!$A$4:$AG$39,3,)</f>
        <v>0</v>
      </c>
      <c r="O760" s="49">
        <f>VLOOKUP($B758,[12]Complaints!$A$4:$AG$39,3,)</f>
        <v>0</v>
      </c>
      <c r="P760" s="45">
        <f>SUM(D760:O760)</f>
        <v>20</v>
      </c>
      <c r="Q760" s="50"/>
      <c r="R760" s="18"/>
    </row>
    <row r="761" spans="2:18" ht="15.75" customHeight="1" x14ac:dyDescent="0.2">
      <c r="B761" s="26"/>
      <c r="C761" s="28" t="s">
        <v>102</v>
      </c>
      <c r="D761" s="51">
        <f>IF(D759=0,"",D760/D759)</f>
        <v>0</v>
      </c>
      <c r="E761" s="52">
        <f t="shared" ref="E761:O761" si="195">IF(E759=0,"",E760/E759)</f>
        <v>1.3175230566534915E-3</v>
      </c>
      <c r="F761" s="52">
        <f t="shared" si="195"/>
        <v>3.5056967572304996E-3</v>
      </c>
      <c r="G761" s="52">
        <f t="shared" si="195"/>
        <v>5.6465273856578201E-4</v>
      </c>
      <c r="H761" s="52">
        <f t="shared" si="195"/>
        <v>2.4912805181863478E-3</v>
      </c>
      <c r="I761" s="52">
        <f t="shared" si="195"/>
        <v>1.3986013986013986E-3</v>
      </c>
      <c r="J761" s="52">
        <f t="shared" si="195"/>
        <v>4.7961630695443646E-4</v>
      </c>
      <c r="K761" s="52">
        <f t="shared" si="195"/>
        <v>4.7961630695443646E-4</v>
      </c>
      <c r="L761" s="52">
        <f t="shared" si="195"/>
        <v>1.0559662090813093E-3</v>
      </c>
      <c r="M761" s="52">
        <f t="shared" si="195"/>
        <v>1.3297872340425532E-3</v>
      </c>
      <c r="N761" s="52" t="str">
        <f t="shared" si="195"/>
        <v/>
      </c>
      <c r="O761" s="53" t="str">
        <f t="shared" si="195"/>
        <v/>
      </c>
      <c r="P761" s="54">
        <f>IF(P760="","",P760/P759)</f>
        <v>1.2614317250078839E-3</v>
      </c>
      <c r="Q761" s="50"/>
      <c r="R761" s="18"/>
    </row>
    <row r="762" spans="2:18" s="21" customFormat="1" ht="15.75" customHeight="1" x14ac:dyDescent="0.2">
      <c r="B762" s="155" t="s">
        <v>95</v>
      </c>
      <c r="C762" s="156"/>
      <c r="D762" s="47">
        <f>VLOOKUP($B758,[1]Complaints!$A$4:$AF$39,4,)</f>
        <v>0</v>
      </c>
      <c r="E762" s="48">
        <f>VLOOKUP($B758,[2]Complaints!$A$4:$AF$39,4,)</f>
        <v>0</v>
      </c>
      <c r="F762" s="48">
        <f>VLOOKUP($B758,[3]Complaints!$A$4:$AG$39,4,)</f>
        <v>1</v>
      </c>
      <c r="G762" s="48">
        <f>VLOOKUP($B758,[4]Complaints!$A$4:$AG$39,4,)</f>
        <v>0</v>
      </c>
      <c r="H762" s="48">
        <f>VLOOKUP($B758,[5]Complaints!$A$4:$AG$39,4,)</f>
        <v>1</v>
      </c>
      <c r="I762" s="48">
        <f>VLOOKUP($B758,[6]Complaints!$A$4:$AG$39,4,)</f>
        <v>3</v>
      </c>
      <c r="J762" s="48">
        <f>VLOOKUP($B758,[7]Complaints!$A$4:$AG$39,4,)</f>
        <v>1</v>
      </c>
      <c r="K762" s="48">
        <f>VLOOKUP($B758,[8]Complaints!$A$4:$AG$39,4,)</f>
        <v>1</v>
      </c>
      <c r="L762" s="48">
        <f>VLOOKUP($B758,[9]Complaints!$A$4:$AG$39,4,)</f>
        <v>0</v>
      </c>
      <c r="M762" s="48">
        <f>VLOOKUP($B758,[10]Complaints!$A$4:$AG$39,4,)</f>
        <v>2</v>
      </c>
      <c r="N762" s="48">
        <f>VLOOKUP($B758,[11]Complaints!$A$4:$AG$39,4,)</f>
        <v>0</v>
      </c>
      <c r="O762" s="49">
        <f>VLOOKUP($B758,[12]Complaints!$A$4:$AG$39,4,)</f>
        <v>0</v>
      </c>
      <c r="P762" s="55">
        <f t="shared" ref="P762" si="196">SUM(D762:O762)</f>
        <v>9</v>
      </c>
      <c r="Q762" s="50"/>
    </row>
    <row r="763" spans="2:18" ht="15.75" customHeight="1" x14ac:dyDescent="0.2">
      <c r="B763" s="26"/>
      <c r="C763" s="28" t="s">
        <v>98</v>
      </c>
      <c r="D763" s="51">
        <f>IF(D759=0,"",D762/D759)</f>
        <v>0</v>
      </c>
      <c r="E763" s="52">
        <f t="shared" ref="E763:O763" si="197">IF(E759=0,"",E762/E759)</f>
        <v>0</v>
      </c>
      <c r="F763" s="52">
        <f t="shared" si="197"/>
        <v>8.7642418930762491E-4</v>
      </c>
      <c r="G763" s="52">
        <f t="shared" si="197"/>
        <v>0</v>
      </c>
      <c r="H763" s="52">
        <f t="shared" si="197"/>
        <v>4.9825610363726954E-4</v>
      </c>
      <c r="I763" s="52">
        <f t="shared" si="197"/>
        <v>1.3986013986013986E-3</v>
      </c>
      <c r="J763" s="52">
        <f t="shared" si="197"/>
        <v>4.7961630695443646E-4</v>
      </c>
      <c r="K763" s="52">
        <f t="shared" si="197"/>
        <v>4.7961630695443646E-4</v>
      </c>
      <c r="L763" s="52">
        <f t="shared" si="197"/>
        <v>0</v>
      </c>
      <c r="M763" s="52">
        <f t="shared" si="197"/>
        <v>1.3297872340425532E-3</v>
      </c>
      <c r="N763" s="52" t="str">
        <f t="shared" si="197"/>
        <v/>
      </c>
      <c r="O763" s="53" t="str">
        <f t="shared" si="197"/>
        <v/>
      </c>
      <c r="P763" s="54">
        <f>IF(P762="","",P762/P759)</f>
        <v>5.6764427625354778E-4</v>
      </c>
      <c r="Q763" s="50"/>
      <c r="R763" s="18"/>
    </row>
    <row r="764" spans="2:18" ht="15.75" customHeight="1" x14ac:dyDescent="0.2">
      <c r="B764" s="155" t="s">
        <v>96</v>
      </c>
      <c r="C764" s="156"/>
      <c r="D764" s="47">
        <f>VLOOKUP($B758,[1]Complaints!$A$4:$AF$39,5,)</f>
        <v>0</v>
      </c>
      <c r="E764" s="48">
        <f>VLOOKUP($B758,[2]Complaints!$A$4:$AF$39,5,)</f>
        <v>1</v>
      </c>
      <c r="F764" s="48">
        <f>VLOOKUP($B758,[3]Complaints!$A$4:$AG$39,5,)</f>
        <v>3</v>
      </c>
      <c r="G764" s="48">
        <f>VLOOKUP($B758,[4]Complaints!$A$4:$AG$39,5,)</f>
        <v>1</v>
      </c>
      <c r="H764" s="48">
        <f>VLOOKUP($B758,[5]Complaints!$A$4:$AG$39,5,)</f>
        <v>4</v>
      </c>
      <c r="I764" s="48">
        <f>VLOOKUP($B758,[6]Complaints!$A$4:$AG$39,5,)</f>
        <v>0</v>
      </c>
      <c r="J764" s="48">
        <f>VLOOKUP($B758,[7]Complaints!$A$4:$AG$39,5,)</f>
        <v>0</v>
      </c>
      <c r="K764" s="48">
        <f>VLOOKUP($B758,[8]Complaints!$A$4:$AG$39,5,)</f>
        <v>0</v>
      </c>
      <c r="L764" s="48">
        <f>VLOOKUP($B758,[9]Complaints!$A$4:$AG$39,5,)</f>
        <v>2</v>
      </c>
      <c r="M764" s="48">
        <f>VLOOKUP($B758,[10]Complaints!$A$4:$AG$39,5,)</f>
        <v>0</v>
      </c>
      <c r="N764" s="48">
        <f>VLOOKUP($B758,[11]Complaints!$A$4:$AG$39,5,)</f>
        <v>0</v>
      </c>
      <c r="O764" s="49">
        <f>VLOOKUP($B758,[12]Complaints!$A$4:$AG$39,5,)</f>
        <v>0</v>
      </c>
      <c r="P764" s="55">
        <f t="shared" ref="P764" si="198">SUM(D764:O764)</f>
        <v>11</v>
      </c>
      <c r="Q764" s="50"/>
      <c r="R764" s="18"/>
    </row>
    <row r="765" spans="2:18" ht="15.75" customHeight="1" x14ac:dyDescent="0.2">
      <c r="B765" s="26"/>
      <c r="C765" s="28" t="s">
        <v>99</v>
      </c>
      <c r="D765" s="51">
        <f>IF(D759=0,"",D764/D759)</f>
        <v>0</v>
      </c>
      <c r="E765" s="52">
        <f t="shared" ref="E765:O765" si="199">IF(E759=0,"",E764/E759)</f>
        <v>1.3175230566534915E-3</v>
      </c>
      <c r="F765" s="52">
        <f t="shared" si="199"/>
        <v>2.6292725679228747E-3</v>
      </c>
      <c r="G765" s="52">
        <f t="shared" si="199"/>
        <v>5.6465273856578201E-4</v>
      </c>
      <c r="H765" s="52">
        <f t="shared" si="199"/>
        <v>1.9930244145490781E-3</v>
      </c>
      <c r="I765" s="52">
        <f t="shared" si="199"/>
        <v>0</v>
      </c>
      <c r="J765" s="52">
        <f t="shared" si="199"/>
        <v>0</v>
      </c>
      <c r="K765" s="52">
        <f t="shared" si="199"/>
        <v>0</v>
      </c>
      <c r="L765" s="52">
        <f t="shared" si="199"/>
        <v>1.0559662090813093E-3</v>
      </c>
      <c r="M765" s="52">
        <f t="shared" si="199"/>
        <v>0</v>
      </c>
      <c r="N765" s="52" t="str">
        <f t="shared" si="199"/>
        <v/>
      </c>
      <c r="O765" s="53" t="str">
        <f t="shared" si="199"/>
        <v/>
      </c>
      <c r="P765" s="54">
        <f>IF(P764="","",P764/P759)</f>
        <v>6.9378744875433617E-4</v>
      </c>
      <c r="Q765" s="50"/>
      <c r="R765" s="18"/>
    </row>
    <row r="766" spans="2:18" ht="15.75" customHeight="1" x14ac:dyDescent="0.2">
      <c r="B766" s="157" t="s">
        <v>97</v>
      </c>
      <c r="C766" s="156"/>
      <c r="D766" s="47">
        <f>VLOOKUP($B758,[1]Complaints!$A$4:$AF$39,6,)</f>
        <v>0</v>
      </c>
      <c r="E766" s="48">
        <f>VLOOKUP($B758,[2]Complaints!$A$4:$AF$39,6,)</f>
        <v>1</v>
      </c>
      <c r="F766" s="48">
        <f>VLOOKUP($B758,[3]Complaints!$A$4:$AG$39,6,)</f>
        <v>4</v>
      </c>
      <c r="G766" s="48">
        <f>VLOOKUP($B758,[4]Complaints!$A$4:$AG$39,6,)</f>
        <v>0</v>
      </c>
      <c r="H766" s="48">
        <f>VLOOKUP($B758,[5]Complaints!$A$4:$AG$39,6,)</f>
        <v>4</v>
      </c>
      <c r="I766" s="48">
        <f>VLOOKUP($B758,[6]Complaints!$A$4:$AG$39,6,)</f>
        <v>0</v>
      </c>
      <c r="J766" s="48">
        <f>VLOOKUP($B758,[7]Complaints!$A$4:$AG$39,6,)</f>
        <v>1</v>
      </c>
      <c r="K766" s="48">
        <f>VLOOKUP($B758,[8]Complaints!$A$4:$AG$39,6,)</f>
        <v>1</v>
      </c>
      <c r="L766" s="48">
        <f>VLOOKUP($B758,[9]Complaints!$A$4:$AG$39,6,)</f>
        <v>1</v>
      </c>
      <c r="M766" s="48">
        <f>VLOOKUP($B758,[10]Complaints!$A$4:$AG$39,6,)</f>
        <v>0</v>
      </c>
      <c r="N766" s="48">
        <f>VLOOKUP($B758,[11]Complaints!$A$4:$AG$39,6,)</f>
        <v>0</v>
      </c>
      <c r="O766" s="49">
        <f>VLOOKUP($B758,[12]Complaints!$A$4:$AG$39,6,)</f>
        <v>0</v>
      </c>
      <c r="P766" s="55">
        <f t="shared" ref="P766" si="200">SUM(D766:O766)</f>
        <v>12</v>
      </c>
      <c r="Q766" s="50"/>
      <c r="R766" s="18"/>
    </row>
    <row r="767" spans="2:18" ht="15.75" customHeight="1" thickBot="1" x14ac:dyDescent="0.25">
      <c r="B767" s="27"/>
      <c r="C767" s="29" t="s">
        <v>100</v>
      </c>
      <c r="D767" s="56" t="str">
        <f>IF(D766=0,"",D766/D764)</f>
        <v/>
      </c>
      <c r="E767" s="57">
        <f t="shared" ref="E767:H767" si="201">IF(E766=0,"",E766/E764)</f>
        <v>1</v>
      </c>
      <c r="F767" s="57">
        <f t="shared" si="201"/>
        <v>1.3333333333333333</v>
      </c>
      <c r="G767" s="57" t="str">
        <f t="shared" si="201"/>
        <v/>
      </c>
      <c r="H767" s="57">
        <f t="shared" si="201"/>
        <v>1</v>
      </c>
      <c r="I767" s="57" t="str">
        <f>IF(I766=0,"",I766/I764)</f>
        <v/>
      </c>
      <c r="J767" s="57" t="e">
        <f t="shared" ref="J767:O767" si="202">IF(J766=0,"",J766/J764)</f>
        <v>#DIV/0!</v>
      </c>
      <c r="K767" s="57" t="e">
        <f t="shared" si="202"/>
        <v>#DIV/0!</v>
      </c>
      <c r="L767" s="57">
        <f t="shared" si="202"/>
        <v>0.5</v>
      </c>
      <c r="M767" s="57" t="str">
        <f t="shared" si="202"/>
        <v/>
      </c>
      <c r="N767" s="57" t="str">
        <f t="shared" si="202"/>
        <v/>
      </c>
      <c r="O767" s="58" t="str">
        <f t="shared" si="202"/>
        <v/>
      </c>
      <c r="P767" s="59">
        <f>IF(P766=0,"",P766/P764)</f>
        <v>1.0909090909090908</v>
      </c>
      <c r="Q767" s="60"/>
      <c r="R767" s="18"/>
    </row>
    <row r="768" spans="2:18" ht="15.75" customHeight="1" x14ac:dyDescent="0.2">
      <c r="B768" s="168" t="s">
        <v>103</v>
      </c>
      <c r="C768" s="30" t="s">
        <v>77</v>
      </c>
      <c r="D768" s="61">
        <f>VLOOKUP($B758,[1]Complaints!$A$4:$AJ$39,7,)</f>
        <v>0</v>
      </c>
      <c r="E768" s="43">
        <f>VLOOKUP($B758,[2]Complaints!$A$4:$AJ$39,7,)</f>
        <v>0</v>
      </c>
      <c r="F768" s="43">
        <f>VLOOKUP($B758,[3]Complaints!$A$4:$AJ$39,7,)</f>
        <v>1</v>
      </c>
      <c r="G768" s="43">
        <f>VLOOKUP($B758,[4]Complaints!$A$4:$AJ$39,7,)</f>
        <v>0</v>
      </c>
      <c r="H768" s="43">
        <f>VLOOKUP($B758,[5]Complaints!$A$4:$AJ$39,7,)</f>
        <v>0</v>
      </c>
      <c r="I768" s="43">
        <f>VLOOKUP($B758,[6]Complaints!$A$4:$AJ$39,7,)</f>
        <v>2</v>
      </c>
      <c r="J768" s="43">
        <f>VLOOKUP($B758,[7]Complaints!$A$4:$AJ$39,7,)</f>
        <v>0</v>
      </c>
      <c r="K768" s="43">
        <f>VLOOKUP($B758,[8]Complaints!$A$4:$AJ$39,7,)</f>
        <v>0</v>
      </c>
      <c r="L768" s="43">
        <f>VLOOKUP($B758,[9]Complaints!$A$4:$AJ$39,7,)</f>
        <v>0</v>
      </c>
      <c r="M768" s="43">
        <f>VLOOKUP($B758,[10]Complaints!$A$4:$AJ$39,7,)</f>
        <v>0</v>
      </c>
      <c r="N768" s="43">
        <f>VLOOKUP($B758,[11]Complaints!$A$4:$AJ$39,7,)</f>
        <v>0</v>
      </c>
      <c r="O768" s="44">
        <f>VLOOKUP($B758,[12]Complaints!$A$4:$AJ$39,7,)</f>
        <v>0</v>
      </c>
      <c r="P768" s="45">
        <f>SUM(D768:O768)</f>
        <v>3</v>
      </c>
      <c r="Q768" s="46">
        <f>IF(P768=0,"",P768/$P760)</f>
        <v>0.15</v>
      </c>
      <c r="R768" s="18"/>
    </row>
    <row r="769" spans="2:18" ht="15.75" customHeight="1" x14ac:dyDescent="0.2">
      <c r="B769" s="169"/>
      <c r="C769" s="31" t="s">
        <v>89</v>
      </c>
      <c r="D769" s="47">
        <f>VLOOKUP($B758,[1]Complaints!$A$4:$AJ$39,8,)</f>
        <v>0</v>
      </c>
      <c r="E769" s="48">
        <f>VLOOKUP($B758,[2]Complaints!$A$4:$AJ$39,8,)</f>
        <v>1</v>
      </c>
      <c r="F769" s="48">
        <f>VLOOKUP($B758,[3]Complaints!$A$4:$AJ$39,8,)</f>
        <v>2</v>
      </c>
      <c r="G769" s="48">
        <f>VLOOKUP($B758,[4]Complaints!$A$4:$AJ$39,8,)</f>
        <v>0</v>
      </c>
      <c r="H769" s="48">
        <f>VLOOKUP($B758,[5]Complaints!$A$4:$AJ$39,8,)</f>
        <v>3</v>
      </c>
      <c r="I769" s="48">
        <f>VLOOKUP($B758,[6]Complaints!$A$4:$AJ$39,8,)</f>
        <v>0</v>
      </c>
      <c r="J769" s="48">
        <f>VLOOKUP($B758,[7]Complaints!$A$4:$AJ$39,8,)</f>
        <v>0</v>
      </c>
      <c r="K769" s="48">
        <f>VLOOKUP($B758,[8]Complaints!$A$4:$AJ$39,8,)</f>
        <v>0</v>
      </c>
      <c r="L769" s="48">
        <f>VLOOKUP($B758,[9]Complaints!$A$4:$AJ$39,8,)</f>
        <v>2</v>
      </c>
      <c r="M769" s="48">
        <f>VLOOKUP($B758,[10]Complaints!$A$4:$AJ$39,8,)</f>
        <v>0</v>
      </c>
      <c r="N769" s="48">
        <f>VLOOKUP($B758,[11]Complaints!$A$4:$AJ$39,8,)</f>
        <v>0</v>
      </c>
      <c r="O769" s="49">
        <f>VLOOKUP($B758,[12]Complaints!$A$4:$AJ$39,8,)</f>
        <v>0</v>
      </c>
      <c r="P769" s="55">
        <f t="shared" ref="P769:P770" si="203">SUM(D769:O769)</f>
        <v>8</v>
      </c>
      <c r="Q769" s="50">
        <f>IF(P769="","",P769/$P760)</f>
        <v>0.4</v>
      </c>
      <c r="R769" s="18"/>
    </row>
    <row r="770" spans="2:18" ht="15.75" customHeight="1" x14ac:dyDescent="0.2">
      <c r="B770" s="169"/>
      <c r="C770" s="31" t="s">
        <v>88</v>
      </c>
      <c r="D770" s="47">
        <f>VLOOKUP($B758,[1]Complaints!$A$4:$AJ$39,9,)</f>
        <v>0</v>
      </c>
      <c r="E770" s="48">
        <f>VLOOKUP($B758,[2]Complaints!$A$4:$AJ$39,9,)</f>
        <v>0</v>
      </c>
      <c r="F770" s="48">
        <f>VLOOKUP($B758,[3]Complaints!$A$4:$AJ$39,9,)</f>
        <v>0</v>
      </c>
      <c r="G770" s="48">
        <f>VLOOKUP($B758,[4]Complaints!$A$4:$AJ$39,9,)</f>
        <v>0</v>
      </c>
      <c r="H770" s="48">
        <f>VLOOKUP($B758,[5]Complaints!$A$4:$AJ$39,9,)</f>
        <v>0</v>
      </c>
      <c r="I770" s="48">
        <f>VLOOKUP($B758,[6]Complaints!$A$4:$AJ$39,9,)</f>
        <v>1</v>
      </c>
      <c r="J770" s="48">
        <f>VLOOKUP($B758,[7]Complaints!$A$4:$AJ$39,9,)</f>
        <v>0</v>
      </c>
      <c r="K770" s="48">
        <f>VLOOKUP($B758,[8]Complaints!$A$4:$AJ$39,9,)</f>
        <v>0</v>
      </c>
      <c r="L770" s="48">
        <f>VLOOKUP($B758,[9]Complaints!$A$4:$AJ$39,9,)</f>
        <v>0</v>
      </c>
      <c r="M770" s="48">
        <f>VLOOKUP($B758,[10]Complaints!$A$4:$AJ$39,9,)</f>
        <v>0</v>
      </c>
      <c r="N770" s="48">
        <f>VLOOKUP($B758,[11]Complaints!$A$4:$AJ$39,9,)</f>
        <v>0</v>
      </c>
      <c r="O770" s="49">
        <f>VLOOKUP($B758,[12]Complaints!$A$4:$AJ$39,9,)</f>
        <v>0</v>
      </c>
      <c r="P770" s="55">
        <f t="shared" si="203"/>
        <v>1</v>
      </c>
      <c r="Q770" s="50">
        <f>IF(P770=0,"",P770/$P760)</f>
        <v>0.05</v>
      </c>
      <c r="R770" s="18"/>
    </row>
    <row r="771" spans="2:18" ht="15.75" customHeight="1" x14ac:dyDescent="0.2">
      <c r="B771" s="169"/>
      <c r="C771" s="31" t="s">
        <v>13</v>
      </c>
      <c r="D771" s="47">
        <f>VLOOKUP($B758,[1]Complaints!$A$4:$AJ$39,10,)</f>
        <v>0</v>
      </c>
      <c r="E771" s="48">
        <f>VLOOKUP($B758,[2]Complaints!$A$4:$AJ$39,10,)</f>
        <v>0</v>
      </c>
      <c r="F771" s="48">
        <f>VLOOKUP($B758,[3]Complaints!$A$4:$AJ$39,10,)</f>
        <v>0</v>
      </c>
      <c r="G771" s="48">
        <f>VLOOKUP($B758,[4]Complaints!$A$4:$AJ$39,10,)</f>
        <v>0</v>
      </c>
      <c r="H771" s="48">
        <f>VLOOKUP($B758,[5]Complaints!$A$4:$AJ$39,10,)</f>
        <v>0</v>
      </c>
      <c r="I771" s="48">
        <f>VLOOKUP($B758,[6]Complaints!$A$4:$AJ$39,10,)</f>
        <v>0</v>
      </c>
      <c r="J771" s="48">
        <f>VLOOKUP($B758,[7]Complaints!$A$4:$AJ$39,10,)</f>
        <v>1</v>
      </c>
      <c r="K771" s="48">
        <f>VLOOKUP($B758,[8]Complaints!$A$4:$AJ$39,10,)</f>
        <v>0</v>
      </c>
      <c r="L771" s="48">
        <f>VLOOKUP($B758,[9]Complaints!$A$4:$AJ$39,10,)</f>
        <v>0</v>
      </c>
      <c r="M771" s="48">
        <f>VLOOKUP($B758,[10]Complaints!$A$4:$AJ$39,10,)</f>
        <v>2</v>
      </c>
      <c r="N771" s="48">
        <f>VLOOKUP($B758,[11]Complaints!$A$4:$AJ$39,10,)</f>
        <v>0</v>
      </c>
      <c r="O771" s="49">
        <f>VLOOKUP($B758,[12]Complaints!$A$4:$AJ$39,10,)</f>
        <v>0</v>
      </c>
      <c r="P771" s="55">
        <f>SUM(D771:O771)</f>
        <v>3</v>
      </c>
      <c r="Q771" s="50">
        <f>IF(P771=0,"",P771/$P760)</f>
        <v>0.15</v>
      </c>
      <c r="R771" s="18"/>
    </row>
    <row r="772" spans="2:18" ht="15.75" customHeight="1" x14ac:dyDescent="0.2">
      <c r="B772" s="169"/>
      <c r="C772" s="31" t="s">
        <v>101</v>
      </c>
      <c r="D772" s="47">
        <f>VLOOKUP($B758,[1]Complaints!$A$4:$AJ$39,11,)</f>
        <v>0</v>
      </c>
      <c r="E772" s="48">
        <f>VLOOKUP($B758,[2]Complaints!$A$4:$AJ$39,11,)</f>
        <v>0</v>
      </c>
      <c r="F772" s="48">
        <f>VLOOKUP($B758,[3]Complaints!$A$4:$AJ$39,11,)</f>
        <v>0</v>
      </c>
      <c r="G772" s="48">
        <f>VLOOKUP($B758,[4]Complaints!$A$4:$AJ$39,11,)</f>
        <v>0</v>
      </c>
      <c r="H772" s="48">
        <f>VLOOKUP($B758,[5]Complaints!$A$4:$AJ$39,11,)</f>
        <v>0</v>
      </c>
      <c r="I772" s="48">
        <f>VLOOKUP($B758,[6]Complaints!$A$4:$AJ$39,11,)</f>
        <v>0</v>
      </c>
      <c r="J772" s="48">
        <f>VLOOKUP($B758,[7]Complaints!$A$4:$AJ$39,11,)</f>
        <v>0</v>
      </c>
      <c r="K772" s="48">
        <f>VLOOKUP($B758,[8]Complaints!$A$4:$AJ$39,11,)</f>
        <v>0</v>
      </c>
      <c r="L772" s="48">
        <f>VLOOKUP($B758,[9]Complaints!$A$4:$AJ$39,11,)</f>
        <v>0</v>
      </c>
      <c r="M772" s="48">
        <f>VLOOKUP($B758,[10]Complaints!$A$4:$AJ$39,11,)</f>
        <v>0</v>
      </c>
      <c r="N772" s="48">
        <f>VLOOKUP($B758,[11]Complaints!$A$4:$AJ$39,11,)</f>
        <v>0</v>
      </c>
      <c r="O772" s="49">
        <f>VLOOKUP($B758,[12]Complaints!$A$4:$AJ$39,11,)</f>
        <v>0</v>
      </c>
      <c r="P772" s="55">
        <f t="shared" ref="P772:P781" si="204">SUM(D772:O772)</f>
        <v>0</v>
      </c>
      <c r="Q772" s="50" t="str">
        <f>IF(P772=0,"",P772/$P760)</f>
        <v/>
      </c>
      <c r="R772" s="18"/>
    </row>
    <row r="773" spans="2:18" s="19" customFormat="1" ht="15.75" customHeight="1" x14ac:dyDescent="0.2">
      <c r="B773" s="169"/>
      <c r="C773" s="31" t="s">
        <v>93</v>
      </c>
      <c r="D773" s="47">
        <f>VLOOKUP($B758,[1]Complaints!$A$4:$AJ$39,12,)</f>
        <v>0</v>
      </c>
      <c r="E773" s="48">
        <f>VLOOKUP($B758,[2]Complaints!$A$4:$AJ$39,12,)</f>
        <v>0</v>
      </c>
      <c r="F773" s="48">
        <f>VLOOKUP($B758,[3]Complaints!$A$4:$AJ$39,12,)</f>
        <v>0</v>
      </c>
      <c r="G773" s="48">
        <f>VLOOKUP($B758,[4]Complaints!$A$4:$AJ$39,12,)</f>
        <v>0</v>
      </c>
      <c r="H773" s="48">
        <f>VLOOKUP($B758,[5]Complaints!$A$4:$AJ$39,12,)</f>
        <v>0</v>
      </c>
      <c r="I773" s="48">
        <f>VLOOKUP($B758,[6]Complaints!$A$4:$AJ$39,12,)</f>
        <v>0</v>
      </c>
      <c r="J773" s="48">
        <f>VLOOKUP($B758,[7]Complaints!$A$4:$AJ$39,12,)</f>
        <v>0</v>
      </c>
      <c r="K773" s="48">
        <f>VLOOKUP($B758,[8]Complaints!$A$4:$AJ$39,12,)</f>
        <v>0</v>
      </c>
      <c r="L773" s="48">
        <f>VLOOKUP($B758,[9]Complaints!$A$4:$AJ$39,12,)</f>
        <v>0</v>
      </c>
      <c r="M773" s="48">
        <f>VLOOKUP($B758,[10]Complaints!$A$4:$AJ$39,12,)</f>
        <v>0</v>
      </c>
      <c r="N773" s="48">
        <f>VLOOKUP($B758,[11]Complaints!$A$4:$AJ$39,12,)</f>
        <v>0</v>
      </c>
      <c r="O773" s="49">
        <f>VLOOKUP($B758,[12]Complaints!$A$4:$AJ$39,12,)</f>
        <v>0</v>
      </c>
      <c r="P773" s="55">
        <f t="shared" si="204"/>
        <v>0</v>
      </c>
      <c r="Q773" s="50" t="str">
        <f>IF(P773=0,"",P773/$P760)</f>
        <v/>
      </c>
    </row>
    <row r="774" spans="2:18" ht="15.75" customHeight="1" x14ac:dyDescent="0.2">
      <c r="B774" s="169"/>
      <c r="C774" s="31" t="s">
        <v>78</v>
      </c>
      <c r="D774" s="47">
        <f>VLOOKUP($B758,[1]Complaints!$A$4:$AJ$39,13,)</f>
        <v>0</v>
      </c>
      <c r="E774" s="48">
        <f>VLOOKUP($B758,[2]Complaints!$A$4:$AJ$39,13,)</f>
        <v>0</v>
      </c>
      <c r="F774" s="48">
        <f>VLOOKUP($B758,[3]Complaints!$A$4:$AJ$39,13,)</f>
        <v>0</v>
      </c>
      <c r="G774" s="48">
        <f>VLOOKUP($B758,[4]Complaints!$A$4:$AJ$39,13,)</f>
        <v>0</v>
      </c>
      <c r="H774" s="48">
        <f>VLOOKUP($B758,[5]Complaints!$A$4:$AJ$39,13,)</f>
        <v>1</v>
      </c>
      <c r="I774" s="48">
        <f>VLOOKUP($B758,[6]Complaints!$A$4:$AJ$39,13,)</f>
        <v>0</v>
      </c>
      <c r="J774" s="48">
        <f>VLOOKUP($B758,[7]Complaints!$A$4:$AJ$39,13,)</f>
        <v>0</v>
      </c>
      <c r="K774" s="48">
        <f>VLOOKUP($B758,[8]Complaints!$A$4:$AJ$39,13,)</f>
        <v>0</v>
      </c>
      <c r="L774" s="48">
        <f>VLOOKUP($B758,[9]Complaints!$A$4:$AJ$39,13,)</f>
        <v>0</v>
      </c>
      <c r="M774" s="48">
        <f>VLOOKUP($B758,[10]Complaints!$A$4:$AJ$39,13,)</f>
        <v>0</v>
      </c>
      <c r="N774" s="48">
        <f>VLOOKUP($B758,[11]Complaints!$A$4:$AJ$39,13,)</f>
        <v>0</v>
      </c>
      <c r="O774" s="49">
        <f>VLOOKUP($B758,[12]Complaints!$A$4:$AJ$39,13,)</f>
        <v>0</v>
      </c>
      <c r="P774" s="55">
        <f t="shared" si="204"/>
        <v>1</v>
      </c>
      <c r="Q774" s="50">
        <f>IF(P774=0,"",P774/$P760)</f>
        <v>0.05</v>
      </c>
      <c r="R774" s="18"/>
    </row>
    <row r="775" spans="2:18" ht="15.75" customHeight="1" x14ac:dyDescent="0.2">
      <c r="B775" s="169"/>
      <c r="C775" s="31" t="s">
        <v>92</v>
      </c>
      <c r="D775" s="47">
        <f>VLOOKUP($B758,[1]Complaints!$A$4:$AJ$39,14,)</f>
        <v>0</v>
      </c>
      <c r="E775" s="48">
        <f>VLOOKUP($B758,[2]Complaints!$A$4:$AJ$39,14,)</f>
        <v>0</v>
      </c>
      <c r="F775" s="48">
        <f>VLOOKUP($B758,[3]Complaints!$A$4:$AJ$39,14,)</f>
        <v>0</v>
      </c>
      <c r="G775" s="48">
        <f>VLOOKUP($B758,[4]Complaints!$A$4:$AJ$39,14,)</f>
        <v>0</v>
      </c>
      <c r="H775" s="48">
        <f>VLOOKUP($B758,[5]Complaints!$A$4:$AJ$39,14,)</f>
        <v>0</v>
      </c>
      <c r="I775" s="48">
        <f>VLOOKUP($B758,[6]Complaints!$A$4:$AJ$39,14,)</f>
        <v>0</v>
      </c>
      <c r="J775" s="48">
        <f>VLOOKUP($B758,[7]Complaints!$A$4:$AJ$39,14,)</f>
        <v>0</v>
      </c>
      <c r="K775" s="48">
        <f>VLOOKUP($B758,[8]Complaints!$A$4:$AJ$39,14,)</f>
        <v>0</v>
      </c>
      <c r="L775" s="48">
        <f>VLOOKUP($B758,[9]Complaints!$A$4:$AJ$39,14,)</f>
        <v>0</v>
      </c>
      <c r="M775" s="48">
        <f>VLOOKUP($B758,[10]Complaints!$A$4:$AJ$39,14,)</f>
        <v>0</v>
      </c>
      <c r="N775" s="48">
        <f>VLOOKUP($B758,[11]Complaints!$A$4:$AJ$39,14,)</f>
        <v>0</v>
      </c>
      <c r="O775" s="49">
        <f>VLOOKUP($B758,[12]Complaints!$A$4:$AJ$39,14,)</f>
        <v>0</v>
      </c>
      <c r="P775" s="55">
        <f t="shared" si="204"/>
        <v>0</v>
      </c>
      <c r="Q775" s="50" t="str">
        <f>IF(P775=0,"",P775/$P760)</f>
        <v/>
      </c>
      <c r="R775" s="18"/>
    </row>
    <row r="776" spans="2:18" ht="15.75" customHeight="1" x14ac:dyDescent="0.2">
      <c r="B776" s="169"/>
      <c r="C776" s="31" t="s">
        <v>91</v>
      </c>
      <c r="D776" s="47">
        <f>VLOOKUP($B758,[1]Complaints!$A$4:$AJ$39,15,)</f>
        <v>0</v>
      </c>
      <c r="E776" s="48">
        <f>VLOOKUP($B758,[2]Complaints!$A$4:$AJ$39,15,)</f>
        <v>0</v>
      </c>
      <c r="F776" s="48">
        <f>VLOOKUP($B758,[3]Complaints!$A$4:$AJ$39,15,)</f>
        <v>1</v>
      </c>
      <c r="G776" s="48">
        <f>VLOOKUP($B758,[4]Complaints!$A$4:$AJ$39,15,)</f>
        <v>1</v>
      </c>
      <c r="H776" s="48">
        <f>VLOOKUP($B758,[5]Complaints!$A$4:$AJ$39,15,)</f>
        <v>0</v>
      </c>
      <c r="I776" s="48">
        <f>VLOOKUP($B758,[6]Complaints!$A$4:$AJ$39,15,)</f>
        <v>0</v>
      </c>
      <c r="J776" s="48">
        <f>VLOOKUP($B758,[7]Complaints!$A$4:$AJ$39,15,)</f>
        <v>0</v>
      </c>
      <c r="K776" s="48">
        <f>VLOOKUP($B758,[8]Complaints!$A$4:$AJ$39,15,)</f>
        <v>0</v>
      </c>
      <c r="L776" s="48">
        <f>VLOOKUP($B758,[9]Complaints!$A$4:$AJ$39,15,)</f>
        <v>0</v>
      </c>
      <c r="M776" s="48">
        <f>VLOOKUP($B758,[10]Complaints!$A$4:$AJ$39,15,)</f>
        <v>0</v>
      </c>
      <c r="N776" s="48">
        <f>VLOOKUP($B758,[11]Complaints!$A$4:$AJ$39,15,)</f>
        <v>0</v>
      </c>
      <c r="O776" s="49">
        <f>VLOOKUP($B758,[12]Complaints!$A$4:$AJ$39,15,)</f>
        <v>0</v>
      </c>
      <c r="P776" s="55">
        <f t="shared" si="204"/>
        <v>2</v>
      </c>
      <c r="Q776" s="50">
        <f>IF(P776=0,"",P776/$P760)</f>
        <v>0.1</v>
      </c>
      <c r="R776" s="18"/>
    </row>
    <row r="777" spans="2:18" ht="15.75" customHeight="1" x14ac:dyDescent="0.2">
      <c r="B777" s="169"/>
      <c r="C777" s="31" t="s">
        <v>79</v>
      </c>
      <c r="D777" s="47">
        <f>VLOOKUP($B758,[1]Complaints!$A$4:$AJ$39,16,)</f>
        <v>0</v>
      </c>
      <c r="E777" s="48">
        <f>VLOOKUP($B758,[2]Complaints!$A$4:$AJ$39,16,)</f>
        <v>0</v>
      </c>
      <c r="F777" s="48">
        <f>VLOOKUP($B758,[3]Complaints!$A$4:$AJ$39,16,)</f>
        <v>0</v>
      </c>
      <c r="G777" s="48">
        <f>VLOOKUP($B758,[4]Complaints!$A$4:$AJ$39,16,)</f>
        <v>0</v>
      </c>
      <c r="H777" s="48">
        <f>VLOOKUP($B758,[5]Complaints!$A$4:$AJ$39,16,)</f>
        <v>0</v>
      </c>
      <c r="I777" s="48">
        <f>VLOOKUP($B758,[6]Complaints!$A$4:$AJ$39,16,)</f>
        <v>0</v>
      </c>
      <c r="J777" s="48">
        <f>VLOOKUP($B758,[7]Complaints!$A$4:$AJ$39,16,)</f>
        <v>0</v>
      </c>
      <c r="K777" s="48">
        <f>VLOOKUP($B758,[8]Complaints!$A$4:$AJ$39,16,)</f>
        <v>0</v>
      </c>
      <c r="L777" s="48">
        <f>VLOOKUP($B758,[9]Complaints!$A$4:$AJ$39,16,)</f>
        <v>0</v>
      </c>
      <c r="M777" s="48">
        <f>VLOOKUP($B758,[10]Complaints!$A$4:$AJ$39,16,)</f>
        <v>0</v>
      </c>
      <c r="N777" s="48">
        <f>VLOOKUP($B758,[11]Complaints!$A$4:$AJ$39,16,)</f>
        <v>0</v>
      </c>
      <c r="O777" s="49">
        <f>VLOOKUP($B758,[12]Complaints!$A$4:$AJ$39,16,)</f>
        <v>0</v>
      </c>
      <c r="P777" s="55">
        <f t="shared" si="204"/>
        <v>0</v>
      </c>
      <c r="Q777" s="50" t="str">
        <f>IF(P777=0,"",P777/$P760)</f>
        <v/>
      </c>
      <c r="R777" s="18"/>
    </row>
    <row r="778" spans="2:18" ht="15.75" customHeight="1" x14ac:dyDescent="0.2">
      <c r="B778" s="169"/>
      <c r="C778" s="31" t="s">
        <v>80</v>
      </c>
      <c r="D778" s="47">
        <f>VLOOKUP($B758,[1]Complaints!$A$4:$AJ$39,17,)</f>
        <v>0</v>
      </c>
      <c r="E778" s="48">
        <f>VLOOKUP($B758,[2]Complaints!$A$4:$AJ$39,17,)</f>
        <v>0</v>
      </c>
      <c r="F778" s="48">
        <f>VLOOKUP($B758,[3]Complaints!$A$4:$AJ$39,17,)</f>
        <v>0</v>
      </c>
      <c r="G778" s="48">
        <f>VLOOKUP($B758,[4]Complaints!$A$4:$AJ$39,17,)</f>
        <v>0</v>
      </c>
      <c r="H778" s="48">
        <f>VLOOKUP($B758,[5]Complaints!$A$4:$AJ$39,17,)</f>
        <v>0</v>
      </c>
      <c r="I778" s="48">
        <f>VLOOKUP($B758,[6]Complaints!$A$4:$AJ$39,17,)</f>
        <v>0</v>
      </c>
      <c r="J778" s="48">
        <f>VLOOKUP($B758,[7]Complaints!$A$4:$AJ$39,17,)</f>
        <v>0</v>
      </c>
      <c r="K778" s="48">
        <f>VLOOKUP($B758,[8]Complaints!$A$4:$AJ$39,17,)</f>
        <v>0</v>
      </c>
      <c r="L778" s="48">
        <f>VLOOKUP($B758,[9]Complaints!$A$4:$AJ$39,17,)</f>
        <v>0</v>
      </c>
      <c r="M778" s="48">
        <f>VLOOKUP($B758,[10]Complaints!$A$4:$AJ$39,17,)</f>
        <v>0</v>
      </c>
      <c r="N778" s="48">
        <f>VLOOKUP($B758,[11]Complaints!$A$4:$AJ$39,17,)</f>
        <v>0</v>
      </c>
      <c r="O778" s="49">
        <f>VLOOKUP($B758,[12]Complaints!$A$4:$AJ$39,17,)</f>
        <v>0</v>
      </c>
      <c r="P778" s="55">
        <f t="shared" si="204"/>
        <v>0</v>
      </c>
      <c r="Q778" s="50" t="str">
        <f>IF(P778=0,"",P778/$P760)</f>
        <v/>
      </c>
      <c r="R778" s="18"/>
    </row>
    <row r="779" spans="2:18" ht="15.75" customHeight="1" x14ac:dyDescent="0.2">
      <c r="B779" s="169"/>
      <c r="C779" s="31" t="s">
        <v>81</v>
      </c>
      <c r="D779" s="47">
        <f>VLOOKUP($B758,[1]Complaints!$A$4:$AJ$39,18,)</f>
        <v>0</v>
      </c>
      <c r="E779" s="48">
        <f>VLOOKUP($B758,[2]Complaints!$A$4:$AJ$39,18,)</f>
        <v>0</v>
      </c>
      <c r="F779" s="48">
        <f>VLOOKUP($B758,[3]Complaints!$A$4:$AJ$39,18,)</f>
        <v>0</v>
      </c>
      <c r="G779" s="48">
        <f>VLOOKUP($B758,[4]Complaints!$A$4:$AJ$39,18,)</f>
        <v>0</v>
      </c>
      <c r="H779" s="48">
        <f>VLOOKUP($B758,[5]Complaints!$A$4:$AJ$39,18,)</f>
        <v>0</v>
      </c>
      <c r="I779" s="48">
        <f>VLOOKUP($B758,[6]Complaints!$A$4:$AJ$39,18,)</f>
        <v>0</v>
      </c>
      <c r="J779" s="48">
        <f>VLOOKUP($B758,[7]Complaints!$A$4:$AJ$39,18,)</f>
        <v>0</v>
      </c>
      <c r="K779" s="48">
        <f>VLOOKUP($B758,[8]Complaints!$A$4:$AJ$39,18,)</f>
        <v>0</v>
      </c>
      <c r="L779" s="48">
        <f>VLOOKUP($B758,[9]Complaints!$A$4:$AJ$39,18,)</f>
        <v>0</v>
      </c>
      <c r="M779" s="48">
        <f>VLOOKUP($B758,[10]Complaints!$A$4:$AJ$39,18,)</f>
        <v>0</v>
      </c>
      <c r="N779" s="48">
        <f>VLOOKUP($B758,[11]Complaints!$A$4:$AJ$39,18,)</f>
        <v>0</v>
      </c>
      <c r="O779" s="49">
        <f>VLOOKUP($B758,[12]Complaints!$A$4:$AJ$39,18,)</f>
        <v>0</v>
      </c>
      <c r="P779" s="55">
        <f t="shared" si="204"/>
        <v>0</v>
      </c>
      <c r="Q779" s="50" t="str">
        <f>IF(P779=0,"",P779/$P760)</f>
        <v/>
      </c>
      <c r="R779" s="18"/>
    </row>
    <row r="780" spans="2:18" ht="15.75" customHeight="1" x14ac:dyDescent="0.2">
      <c r="B780" s="169"/>
      <c r="C780" s="31" t="s">
        <v>82</v>
      </c>
      <c r="D780" s="47">
        <f>VLOOKUP($B758,[1]Complaints!$A$4:$AJ$39,19,)</f>
        <v>0</v>
      </c>
      <c r="E780" s="48">
        <f>VLOOKUP($B758,[2]Complaints!$A$4:$AJ$39,19,)</f>
        <v>0</v>
      </c>
      <c r="F780" s="48">
        <f>VLOOKUP($B758,[3]Complaints!$A$4:$AJ$39,19,)</f>
        <v>0</v>
      </c>
      <c r="G780" s="48">
        <f>VLOOKUP($B758,[4]Complaints!$A$4:$AJ$39,19,)</f>
        <v>0</v>
      </c>
      <c r="H780" s="48">
        <f>VLOOKUP($B758,[5]Complaints!$A$4:$AJ$39,19,)</f>
        <v>0</v>
      </c>
      <c r="I780" s="48">
        <f>VLOOKUP($B758,[6]Complaints!$A$4:$AJ$39,19,)</f>
        <v>0</v>
      </c>
      <c r="J780" s="48">
        <f>VLOOKUP($B758,[7]Complaints!$A$4:$AJ$39,19,)</f>
        <v>0</v>
      </c>
      <c r="K780" s="48">
        <f>VLOOKUP($B758,[8]Complaints!$A$4:$AJ$39,19,)</f>
        <v>0</v>
      </c>
      <c r="L780" s="48">
        <f>VLOOKUP($B758,[9]Complaints!$A$4:$AJ$39,19,)</f>
        <v>0</v>
      </c>
      <c r="M780" s="48">
        <f>VLOOKUP($B758,[10]Complaints!$A$4:$AJ$39,19,)</f>
        <v>0</v>
      </c>
      <c r="N780" s="48">
        <f>VLOOKUP($B758,[11]Complaints!$A$4:$AJ$39,19,)</f>
        <v>0</v>
      </c>
      <c r="O780" s="49">
        <f>VLOOKUP($B758,[12]Complaints!$A$4:$AJ$39,19,)</f>
        <v>0</v>
      </c>
      <c r="P780" s="55">
        <f t="shared" si="204"/>
        <v>0</v>
      </c>
      <c r="Q780" s="50" t="str">
        <f>IF(P780=0,"",P780/$P760)</f>
        <v/>
      </c>
      <c r="R780" s="18"/>
    </row>
    <row r="781" spans="2:18" ht="15.75" customHeight="1" thickBot="1" x14ac:dyDescent="0.25">
      <c r="B781" s="170"/>
      <c r="C781" s="31" t="s">
        <v>83</v>
      </c>
      <c r="D781" s="47">
        <f>VLOOKUP($B758,[1]Complaints!$A$4:$AJ$39,20,)</f>
        <v>0</v>
      </c>
      <c r="E781" s="48">
        <f>VLOOKUP($B758,[2]Complaints!$A$4:$AJ$39,20,)</f>
        <v>0</v>
      </c>
      <c r="F781" s="48">
        <f>VLOOKUP($B758,[3]Complaints!$A$4:$AJ$39,20,)</f>
        <v>0</v>
      </c>
      <c r="G781" s="48">
        <f>VLOOKUP($B758,[4]Complaints!$A$4:$AJ$39,20,)</f>
        <v>0</v>
      </c>
      <c r="H781" s="48">
        <f>VLOOKUP($B758,[5]Complaints!$A$4:$AJ$39,20,)</f>
        <v>1</v>
      </c>
      <c r="I781" s="48">
        <f>VLOOKUP($B758,[6]Complaints!$A$4:$AJ$39,20,)</f>
        <v>0</v>
      </c>
      <c r="J781" s="48">
        <f>VLOOKUP($B758,[7]Complaints!$A$4:$AJ$39,20,)</f>
        <v>0</v>
      </c>
      <c r="K781" s="48">
        <f>VLOOKUP($B758,[8]Complaints!$A$4:$AJ$39,20,)</f>
        <v>0</v>
      </c>
      <c r="L781" s="48">
        <f>VLOOKUP($B758,[9]Complaints!$A$4:$AJ$39,20,)</f>
        <v>0</v>
      </c>
      <c r="M781" s="48">
        <f>VLOOKUP($B758,[10]Complaints!$A$4:$AJ$39,20,)</f>
        <v>0</v>
      </c>
      <c r="N781" s="48">
        <f>VLOOKUP($B758,[11]Complaints!$A$4:$AJ$39,20,)</f>
        <v>0</v>
      </c>
      <c r="O781" s="49">
        <f>VLOOKUP($B758,[12]Complaints!$A$4:$AJ$39,20,)</f>
        <v>0</v>
      </c>
      <c r="P781" s="55">
        <f t="shared" si="204"/>
        <v>1</v>
      </c>
      <c r="Q781" s="50">
        <f>IF(P781=0,"",P781/$P760)</f>
        <v>0.05</v>
      </c>
      <c r="R781" s="18"/>
    </row>
    <row r="782" spans="2:18" ht="15.75" customHeight="1" x14ac:dyDescent="0.2">
      <c r="B782" s="144" t="s">
        <v>90</v>
      </c>
      <c r="C782" s="37" t="s">
        <v>118</v>
      </c>
      <c r="D782" s="62">
        <f>VLOOKUP($B758,[1]Complaints!$A$4:$AJ$39,21,)</f>
        <v>0</v>
      </c>
      <c r="E782" s="63">
        <f>VLOOKUP($B758,[2]Complaints!$A$4:$AJ$39,21,)</f>
        <v>1</v>
      </c>
      <c r="F782" s="63">
        <f>VLOOKUP($B758,[3]Complaints!$A$4:$AJ$39,21,)</f>
        <v>3</v>
      </c>
      <c r="G782" s="63">
        <f>VLOOKUP($B758,[4]Complaints!$A$4:$AJ$39,21,)</f>
        <v>0</v>
      </c>
      <c r="H782" s="63">
        <f>VLOOKUP($B758,[5]Complaints!$A$4:$AJ$39,21,)</f>
        <v>4</v>
      </c>
      <c r="I782" s="63">
        <f>VLOOKUP($B758,[6]Complaints!$A$4:$AJ$39,21,)</f>
        <v>3</v>
      </c>
      <c r="J782" s="63">
        <f>VLOOKUP($B758,[7]Complaints!$A$4:$AJ$39,21,)</f>
        <v>1</v>
      </c>
      <c r="K782" s="63">
        <f>VLOOKUP($B758,[8]Complaints!$A$4:$AJ$39,21,)</f>
        <v>1</v>
      </c>
      <c r="L782" s="63">
        <f>VLOOKUP($B758,[9]Complaints!$A$4:$AJ$39,21,)</f>
        <v>1</v>
      </c>
      <c r="M782" s="63">
        <f>VLOOKUP($B758,[10]Complaints!$A$4:$AJ$39,21,)</f>
        <v>0</v>
      </c>
      <c r="N782" s="63">
        <f>VLOOKUP($B758,[11]Complaints!$A$4:$AJ$39,21,)</f>
        <v>0</v>
      </c>
      <c r="O782" s="64">
        <f>VLOOKUP($B758,[12]Complaints!$A$4:$AJ$39,21,)</f>
        <v>0</v>
      </c>
      <c r="P782" s="65">
        <f>SUM(D782:O782)</f>
        <v>14</v>
      </c>
      <c r="Q782" s="46">
        <f>IF(P782=0,"",P782/$P766)</f>
        <v>1.1666666666666667</v>
      </c>
      <c r="R782" s="18"/>
    </row>
    <row r="783" spans="2:18" ht="15.75" customHeight="1" x14ac:dyDescent="0.2">
      <c r="B783" s="145"/>
      <c r="C783" s="38" t="s">
        <v>77</v>
      </c>
      <c r="D783" s="66">
        <f>VLOOKUP($B758,[1]Complaints!$A$4:$AJ$39,22,)</f>
        <v>0</v>
      </c>
      <c r="E783" s="67">
        <f>VLOOKUP($B758,[2]Complaints!$A$4:$AJ$39,22,)</f>
        <v>0</v>
      </c>
      <c r="F783" s="67">
        <f>VLOOKUP($B758,[3]Complaints!$A$4:$AJ$39,22,)</f>
        <v>1</v>
      </c>
      <c r="G783" s="67">
        <f>VLOOKUP($B758,[4]Complaints!$A$4:$AJ$39,22,)</f>
        <v>0</v>
      </c>
      <c r="H783" s="67">
        <f>VLOOKUP($B758,[5]Complaints!$A$4:$AJ$39,22,)</f>
        <v>1</v>
      </c>
      <c r="I783" s="67">
        <f>VLOOKUP($B758,[6]Complaints!$A$4:$AJ$39,22,)</f>
        <v>2</v>
      </c>
      <c r="J783" s="67">
        <f>VLOOKUP($B758,[7]Complaints!$A$4:$AJ$39,22,)</f>
        <v>0</v>
      </c>
      <c r="K783" s="67">
        <f>VLOOKUP($B758,[8]Complaints!$A$4:$AJ$39,22,)</f>
        <v>0</v>
      </c>
      <c r="L783" s="67">
        <f>VLOOKUP($B758,[9]Complaints!$A$4:$AJ$39,22,)</f>
        <v>0</v>
      </c>
      <c r="M783" s="67">
        <f>VLOOKUP($B758,[10]Complaints!$A$4:$AJ$39,22,)</f>
        <v>0</v>
      </c>
      <c r="N783" s="67">
        <f>VLOOKUP($B758,[11]Complaints!$A$4:$AJ$39,22,)</f>
        <v>0</v>
      </c>
      <c r="O783" s="68">
        <f>VLOOKUP($B758,[12]Complaints!$A$4:$AJ$39,22,)</f>
        <v>0</v>
      </c>
      <c r="P783" s="69">
        <f t="shared" ref="P783:P797" si="205">SUM(D783:O783)</f>
        <v>4</v>
      </c>
      <c r="Q783" s="70">
        <f>IF(P783=0,"",P783/$P766)</f>
        <v>0.33333333333333331</v>
      </c>
      <c r="R783" s="18"/>
    </row>
    <row r="784" spans="2:18" ht="15.75" customHeight="1" x14ac:dyDescent="0.2">
      <c r="B784" s="145"/>
      <c r="C784" s="38" t="s">
        <v>108</v>
      </c>
      <c r="D784" s="66">
        <f>VLOOKUP($B758,[1]Complaints!$A$4:$AJ$39,23,)</f>
        <v>0</v>
      </c>
      <c r="E784" s="67">
        <f>VLOOKUP($B758,[2]Complaints!$A$4:$AJ$39,23,)</f>
        <v>1</v>
      </c>
      <c r="F784" s="67">
        <f>VLOOKUP($B758,[3]Complaints!$A$4:$AJ$39,23,)</f>
        <v>2</v>
      </c>
      <c r="G784" s="67">
        <f>VLOOKUP($B758,[4]Complaints!$A$4:$AJ$39,23,)</f>
        <v>0</v>
      </c>
      <c r="H784" s="67">
        <f>VLOOKUP($B758,[5]Complaints!$A$4:$AJ$39,23,)</f>
        <v>3</v>
      </c>
      <c r="I784" s="67">
        <f>VLOOKUP($B758,[6]Complaints!$A$4:$AJ$39,23,)</f>
        <v>0</v>
      </c>
      <c r="J784" s="67">
        <f>VLOOKUP($B758,[7]Complaints!$A$4:$AJ$39,23,)</f>
        <v>0</v>
      </c>
      <c r="K784" s="67">
        <f>VLOOKUP($B758,[8]Complaints!$A$4:$AJ$39,23,)</f>
        <v>0</v>
      </c>
      <c r="L784" s="67">
        <f>VLOOKUP($B758,[9]Complaints!$A$4:$AJ$39,23,)</f>
        <v>1</v>
      </c>
      <c r="M784" s="67">
        <f>VLOOKUP($B758,[10]Complaints!$A$4:$AJ$39,23,)</f>
        <v>0</v>
      </c>
      <c r="N784" s="67">
        <f>VLOOKUP($B758,[11]Complaints!$A$4:$AJ$39,23,)</f>
        <v>0</v>
      </c>
      <c r="O784" s="68">
        <f>VLOOKUP($B758,[12]Complaints!$A$4:$AJ$39,23,)</f>
        <v>0</v>
      </c>
      <c r="P784" s="69">
        <f t="shared" si="205"/>
        <v>7</v>
      </c>
      <c r="Q784" s="70">
        <f>IF(P784=0,"",P784/$P766)</f>
        <v>0.58333333333333337</v>
      </c>
      <c r="R784" s="18"/>
    </row>
    <row r="785" spans="1:19" ht="15.75" customHeight="1" x14ac:dyDescent="0.2">
      <c r="B785" s="145"/>
      <c r="C785" s="38" t="s">
        <v>88</v>
      </c>
      <c r="D785" s="66">
        <f>VLOOKUP($B758,[1]Complaints!$A$4:$AJ$39,24,)</f>
        <v>0</v>
      </c>
      <c r="E785" s="67">
        <f>VLOOKUP($B758,[2]Complaints!$A$4:$AJ$39,24,)</f>
        <v>0</v>
      </c>
      <c r="F785" s="67">
        <f>VLOOKUP($B758,[3]Complaints!$A$4:$AJ$39,24,)</f>
        <v>0</v>
      </c>
      <c r="G785" s="67">
        <f>VLOOKUP($B758,[4]Complaints!$A$4:$AJ$39,24,)</f>
        <v>0</v>
      </c>
      <c r="H785" s="67">
        <f>VLOOKUP($B758,[5]Complaints!$A$4:$AJ$39,24,)</f>
        <v>0</v>
      </c>
      <c r="I785" s="67">
        <f>VLOOKUP($B758,[6]Complaints!$A$4:$AJ$39,24,)</f>
        <v>0</v>
      </c>
      <c r="J785" s="67">
        <f>VLOOKUP($B758,[7]Complaints!$A$4:$AJ$39,24,)</f>
        <v>0</v>
      </c>
      <c r="K785" s="67">
        <f>VLOOKUP($B758,[8]Complaints!$A$4:$AJ$39,24,)</f>
        <v>0</v>
      </c>
      <c r="L785" s="67">
        <f>VLOOKUP($B758,[9]Complaints!$A$4:$AJ$39,24,)</f>
        <v>0</v>
      </c>
      <c r="M785" s="67">
        <f>VLOOKUP($B758,[10]Complaints!$A$4:$AJ$39,24,)</f>
        <v>0</v>
      </c>
      <c r="N785" s="67">
        <f>VLOOKUP($B758,[11]Complaints!$A$4:$AJ$39,24,)</f>
        <v>0</v>
      </c>
      <c r="O785" s="68">
        <f>VLOOKUP($B758,[12]Complaints!$A$4:$AJ$39,24,)</f>
        <v>0</v>
      </c>
      <c r="P785" s="69">
        <f t="shared" si="205"/>
        <v>0</v>
      </c>
      <c r="Q785" s="70" t="str">
        <f>IF(P785=0,"",P785/$P766)</f>
        <v/>
      </c>
      <c r="R785" s="18"/>
    </row>
    <row r="786" spans="1:19" ht="15.75" customHeight="1" x14ac:dyDescent="0.2">
      <c r="B786" s="145"/>
      <c r="C786" s="38" t="s">
        <v>109</v>
      </c>
      <c r="D786" s="66">
        <f>VLOOKUP($B758,[1]Complaints!$A$4:$AJ$39,25,)</f>
        <v>0</v>
      </c>
      <c r="E786" s="67">
        <f>VLOOKUP($B758,[2]Complaints!$A$4:$AJ$39,25,)</f>
        <v>0</v>
      </c>
      <c r="F786" s="67">
        <f>VLOOKUP($B758,[3]Complaints!$A$4:$AJ$39,25,)</f>
        <v>0</v>
      </c>
      <c r="G786" s="67">
        <f>VLOOKUP($B758,[4]Complaints!$A$4:$AJ$39,25,)</f>
        <v>0</v>
      </c>
      <c r="H786" s="67">
        <f>VLOOKUP($B758,[5]Complaints!$A$4:$AJ$39,25,)</f>
        <v>0</v>
      </c>
      <c r="I786" s="67">
        <f>VLOOKUP($B758,[6]Complaints!$A$4:$AJ$39,25,)</f>
        <v>1</v>
      </c>
      <c r="J786" s="67">
        <f>VLOOKUP($B758,[7]Complaints!$A$4:$AJ$39,25,)</f>
        <v>1</v>
      </c>
      <c r="K786" s="67">
        <f>VLOOKUP($B758,[8]Complaints!$A$4:$AJ$39,25,)</f>
        <v>1</v>
      </c>
      <c r="L786" s="67">
        <f>VLOOKUP($B758,[9]Complaints!$A$4:$AJ$39,25,)</f>
        <v>0</v>
      </c>
      <c r="M786" s="67">
        <f>VLOOKUP($B758,[10]Complaints!$A$4:$AJ$39,25,)</f>
        <v>0</v>
      </c>
      <c r="N786" s="67">
        <f>VLOOKUP($B758,[11]Complaints!$A$4:$AJ$39,25,)</f>
        <v>0</v>
      </c>
      <c r="O786" s="68">
        <f>VLOOKUP($B758,[12]Complaints!$A$4:$AJ$39,25,)</f>
        <v>0</v>
      </c>
      <c r="P786" s="69">
        <f t="shared" si="205"/>
        <v>3</v>
      </c>
      <c r="Q786" s="70">
        <f>IF(P786=0,"",P786/$P766)</f>
        <v>0.25</v>
      </c>
      <c r="R786" s="18"/>
    </row>
    <row r="787" spans="1:19" ht="15.75" customHeight="1" x14ac:dyDescent="0.2">
      <c r="A787" s="21"/>
      <c r="B787" s="145"/>
      <c r="C787" s="38" t="s">
        <v>110</v>
      </c>
      <c r="D787" s="66">
        <f>VLOOKUP($B758,[1]Complaints!$A$4:$AJ$39,26,)</f>
        <v>0</v>
      </c>
      <c r="E787" s="67">
        <f>VLOOKUP($B758,[2]Complaints!$A$4:$AJ$39,26,)</f>
        <v>0</v>
      </c>
      <c r="F787" s="67">
        <f>VLOOKUP($B758,[3]Complaints!$A$4:$AJ$39,26,)</f>
        <v>0</v>
      </c>
      <c r="G787" s="67">
        <f>VLOOKUP($B758,[4]Complaints!$A$4:$AJ$39,26,)</f>
        <v>0</v>
      </c>
      <c r="H787" s="67">
        <f>VLOOKUP($B758,[5]Complaints!$A$4:$AJ$39,26,)</f>
        <v>0</v>
      </c>
      <c r="I787" s="67">
        <f>VLOOKUP($B758,[6]Complaints!$A$4:$AJ$39,26,)</f>
        <v>0</v>
      </c>
      <c r="J787" s="67">
        <f>VLOOKUP($B758,[7]Complaints!$A$4:$AJ$39,26,)</f>
        <v>0</v>
      </c>
      <c r="K787" s="67">
        <f>VLOOKUP($B758,[8]Complaints!$A$4:$AJ$39,26,)</f>
        <v>0</v>
      </c>
      <c r="L787" s="67">
        <f>VLOOKUP($B758,[9]Complaints!$A$4:$AJ$39,26,)</f>
        <v>0</v>
      </c>
      <c r="M787" s="67">
        <f>VLOOKUP($B758,[10]Complaints!$A$4:$AJ$39,26,)</f>
        <v>0</v>
      </c>
      <c r="N787" s="67">
        <f>VLOOKUP($B758,[11]Complaints!$A$4:$AJ$39,26,)</f>
        <v>0</v>
      </c>
      <c r="O787" s="68">
        <f>VLOOKUP($B758,[12]Complaints!$A$4:$AJ$39,26,)</f>
        <v>0</v>
      </c>
      <c r="P787" s="69">
        <f t="shared" si="205"/>
        <v>0</v>
      </c>
      <c r="Q787" s="70" t="str">
        <f>IF(P787=0,"",P787/$P766)</f>
        <v/>
      </c>
      <c r="R787" s="18"/>
    </row>
    <row r="788" spans="1:19" s="21" customFormat="1" ht="15.75" customHeight="1" x14ac:dyDescent="0.2">
      <c r="B788" s="145"/>
      <c r="C788" s="39" t="s">
        <v>107</v>
      </c>
      <c r="D788" s="71">
        <f>VLOOKUP($B758,[1]Complaints!$A$4:$AJ$39,27,)</f>
        <v>0</v>
      </c>
      <c r="E788" s="72">
        <f>VLOOKUP($B758,[2]Complaints!$A$4:$AJ$39,27,)</f>
        <v>0</v>
      </c>
      <c r="F788" s="72">
        <f>VLOOKUP($B758,[3]Complaints!$A$4:$AJ$39,27,)</f>
        <v>0</v>
      </c>
      <c r="G788" s="72">
        <f>VLOOKUP($B758,[4]Complaints!$A$4:$AJ$39,27,)</f>
        <v>0</v>
      </c>
      <c r="H788" s="72">
        <f>VLOOKUP($B758,[5]Complaints!$A$4:$AJ$39,27,)</f>
        <v>0</v>
      </c>
      <c r="I788" s="72">
        <f>VLOOKUP($B758,[6]Complaints!$A$4:$AJ$39,27,)</f>
        <v>0</v>
      </c>
      <c r="J788" s="72">
        <f>VLOOKUP($B758,[7]Complaints!$A$4:$AJ$39,27,)</f>
        <v>0</v>
      </c>
      <c r="K788" s="72">
        <f>VLOOKUP($B758,[8]Complaints!$A$4:$AJ$39,27,)</f>
        <v>0</v>
      </c>
      <c r="L788" s="72">
        <f>VLOOKUP($B758,[9]Complaints!$A$4:$AJ$39,27,)</f>
        <v>0</v>
      </c>
      <c r="M788" s="72">
        <f>VLOOKUP($B758,[10]Complaints!$A$4:$AJ$39,27,)</f>
        <v>0</v>
      </c>
      <c r="N788" s="72">
        <f>VLOOKUP($B758,[11]Complaints!$A$4:$AJ$39,27,)</f>
        <v>0</v>
      </c>
      <c r="O788" s="73">
        <f>VLOOKUP($B758,[12]Complaints!$A$4:$AJ$39,27,)</f>
        <v>0</v>
      </c>
      <c r="P788" s="69">
        <f t="shared" si="205"/>
        <v>0</v>
      </c>
      <c r="Q788" s="70" t="str">
        <f>IF(P788=0,"",P788/$P766)</f>
        <v/>
      </c>
      <c r="S788" s="18"/>
    </row>
    <row r="789" spans="1:19" ht="15.75" customHeight="1" x14ac:dyDescent="0.2">
      <c r="B789" s="145"/>
      <c r="C789" s="39" t="s">
        <v>87</v>
      </c>
      <c r="D789" s="71">
        <f>VLOOKUP($B758,[1]Complaints!$A$4:$AJ$39,28,)</f>
        <v>0</v>
      </c>
      <c r="E789" s="72">
        <f>VLOOKUP($B758,[2]Complaints!$A$4:$AJ$39,28,)</f>
        <v>0</v>
      </c>
      <c r="F789" s="72">
        <f>VLOOKUP($B758,[3]Complaints!$A$4:$AJ$39,28,)</f>
        <v>0</v>
      </c>
      <c r="G789" s="72">
        <f>VLOOKUP($B758,[4]Complaints!$A$4:$AJ$39,28,)</f>
        <v>0</v>
      </c>
      <c r="H789" s="72">
        <f>VLOOKUP($B758,[5]Complaints!$A$4:$AJ$39,28,)</f>
        <v>0</v>
      </c>
      <c r="I789" s="72">
        <f>VLOOKUP($B758,[6]Complaints!$A$4:$AJ$39,28,)</f>
        <v>0</v>
      </c>
      <c r="J789" s="72">
        <f>VLOOKUP($B758,[7]Complaints!$A$4:$AJ$39,28,)</f>
        <v>0</v>
      </c>
      <c r="K789" s="72">
        <f>VLOOKUP($B758,[8]Complaints!$A$4:$AJ$39,28,)</f>
        <v>0</v>
      </c>
      <c r="L789" s="72">
        <f>VLOOKUP($B758,[9]Complaints!$A$4:$AJ$39,28,)</f>
        <v>0</v>
      </c>
      <c r="M789" s="72">
        <f>VLOOKUP($B758,[10]Complaints!$A$4:$AJ$39,28,)</f>
        <v>0</v>
      </c>
      <c r="N789" s="72">
        <f>VLOOKUP($B758,[11]Complaints!$A$4:$AJ$39,28,)</f>
        <v>0</v>
      </c>
      <c r="O789" s="73">
        <f>VLOOKUP($B758,[12]Complaints!$A$4:$AJ$39,28,)</f>
        <v>0</v>
      </c>
      <c r="P789" s="69">
        <f t="shared" si="205"/>
        <v>0</v>
      </c>
      <c r="Q789" s="70" t="str">
        <f>IF(P789=0,"",P789/$P766)</f>
        <v/>
      </c>
      <c r="R789" s="18"/>
    </row>
    <row r="790" spans="1:19" ht="15.75" customHeight="1" x14ac:dyDescent="0.2">
      <c r="B790" s="145"/>
      <c r="C790" s="38" t="s">
        <v>111</v>
      </c>
      <c r="D790" s="66">
        <f>VLOOKUP($B758,[1]Complaints!$A$4:$AJ$39,29,)</f>
        <v>0</v>
      </c>
      <c r="E790" s="67">
        <f>VLOOKUP($B758,[2]Complaints!$A$4:$AJ$39,29,)</f>
        <v>0</v>
      </c>
      <c r="F790" s="67">
        <f>VLOOKUP($B758,[3]Complaints!$A$4:$AJ$39,29,)</f>
        <v>0</v>
      </c>
      <c r="G790" s="67">
        <f>VLOOKUP($B758,[4]Complaints!$A$4:$AJ$39,29,)</f>
        <v>0</v>
      </c>
      <c r="H790" s="67">
        <f>VLOOKUP($B758,[5]Complaints!$A$4:$AJ$39,29,)</f>
        <v>0</v>
      </c>
      <c r="I790" s="67">
        <f>VLOOKUP($B758,[6]Complaints!$A$4:$AJ$39,29,)</f>
        <v>0</v>
      </c>
      <c r="J790" s="67">
        <f>VLOOKUP($B758,[7]Complaints!$A$4:$AJ$39,29,)</f>
        <v>0</v>
      </c>
      <c r="K790" s="67">
        <f>VLOOKUP($B758,[8]Complaints!$A$4:$AJ$39,29,)</f>
        <v>0</v>
      </c>
      <c r="L790" s="67">
        <f>VLOOKUP($B758,[9]Complaints!$A$4:$AJ$39,29,)</f>
        <v>0</v>
      </c>
      <c r="M790" s="67">
        <f>VLOOKUP($B758,[10]Complaints!$A$4:$AJ$39,29,)</f>
        <v>0</v>
      </c>
      <c r="N790" s="67">
        <f>VLOOKUP($B758,[11]Complaints!$A$4:$AJ$39,29,)</f>
        <v>0</v>
      </c>
      <c r="O790" s="68">
        <f>VLOOKUP($B758,[12]Complaints!$A$4:$AJ$39,29,)</f>
        <v>0</v>
      </c>
      <c r="P790" s="69">
        <f t="shared" si="205"/>
        <v>0</v>
      </c>
      <c r="Q790" s="70" t="str">
        <f>IF(P790=0,"",P790/$P766)</f>
        <v/>
      </c>
      <c r="R790" s="18"/>
    </row>
    <row r="791" spans="1:19" ht="15.75" customHeight="1" x14ac:dyDescent="0.2">
      <c r="B791" s="145"/>
      <c r="C791" s="38" t="s">
        <v>112</v>
      </c>
      <c r="D791" s="66">
        <f>VLOOKUP($B758,[1]Complaints!$A$4:$AJ$39,30,)</f>
        <v>0</v>
      </c>
      <c r="E791" s="67">
        <f>VLOOKUP($B758,[2]Complaints!$A$4:$AJ$39,30,)</f>
        <v>0</v>
      </c>
      <c r="F791" s="67">
        <f>VLOOKUP($B758,[3]Complaints!$A$4:$AJ$39,30,)</f>
        <v>0</v>
      </c>
      <c r="G791" s="67">
        <f>VLOOKUP($B758,[4]Complaints!$A$4:$AJ$39,30,)</f>
        <v>0</v>
      </c>
      <c r="H791" s="67">
        <f>VLOOKUP($B758,[5]Complaints!$A$4:$AJ$39,30,)</f>
        <v>0</v>
      </c>
      <c r="I791" s="67">
        <f>VLOOKUP($B758,[6]Complaints!$A$4:$AJ$39,30,)</f>
        <v>0</v>
      </c>
      <c r="J791" s="67">
        <f>VLOOKUP($B758,[7]Complaints!$A$4:$AJ$39,30,)</f>
        <v>0</v>
      </c>
      <c r="K791" s="67">
        <f>VLOOKUP($B758,[8]Complaints!$A$4:$AJ$39,30,)</f>
        <v>0</v>
      </c>
      <c r="L791" s="67">
        <f>VLOOKUP($B758,[9]Complaints!$A$4:$AJ$39,30,)</f>
        <v>0</v>
      </c>
      <c r="M791" s="67">
        <f>VLOOKUP($B758,[10]Complaints!$A$4:$AJ$39,30,)</f>
        <v>0</v>
      </c>
      <c r="N791" s="67">
        <f>VLOOKUP($B758,[11]Complaints!$A$4:$AJ$39,30,)</f>
        <v>0</v>
      </c>
      <c r="O791" s="68">
        <f>VLOOKUP($B758,[12]Complaints!$A$4:$AJ$39,30,)</f>
        <v>0</v>
      </c>
      <c r="P791" s="69">
        <f t="shared" si="205"/>
        <v>0</v>
      </c>
      <c r="Q791" s="70" t="str">
        <f>IF(P791=0,"",P791/$P766)</f>
        <v/>
      </c>
      <c r="R791" s="18"/>
    </row>
    <row r="792" spans="1:19" ht="15.75" customHeight="1" x14ac:dyDescent="0.2">
      <c r="B792" s="146"/>
      <c r="C792" s="40" t="s">
        <v>119</v>
      </c>
      <c r="D792" s="74">
        <f>VLOOKUP($B758,[1]Complaints!$A$4:$AJ$39,31,)</f>
        <v>0</v>
      </c>
      <c r="E792" s="75">
        <f>VLOOKUP($B758,[2]Complaints!$A$4:$AJ$39,31,)</f>
        <v>0</v>
      </c>
      <c r="F792" s="75">
        <f>VLOOKUP($B758,[3]Complaints!$A$4:$AJ$39,31,)</f>
        <v>1</v>
      </c>
      <c r="G792" s="75">
        <f>VLOOKUP($B758,[4]Complaints!$A$4:$AJ$39,31,)</f>
        <v>0</v>
      </c>
      <c r="H792" s="75">
        <f>VLOOKUP($B758,[5]Complaints!$A$4:$AJ$39,31,)</f>
        <v>0</v>
      </c>
      <c r="I792" s="75">
        <f>VLOOKUP($B758,[6]Complaints!$A$4:$AJ$39,31,)</f>
        <v>0</v>
      </c>
      <c r="J792" s="75">
        <f>VLOOKUP($B758,[7]Complaints!$A$4:$AJ$39,31,)</f>
        <v>0</v>
      </c>
      <c r="K792" s="75">
        <f>VLOOKUP($B758,[8]Complaints!$A$4:$AJ$39,31,)</f>
        <v>0</v>
      </c>
      <c r="L792" s="75">
        <f>VLOOKUP($B758,[9]Complaints!$A$4:$AJ$39,31,)</f>
        <v>0</v>
      </c>
      <c r="M792" s="75">
        <f>VLOOKUP($B758,[10]Complaints!$A$4:$AJ$39,31,)</f>
        <v>0</v>
      </c>
      <c r="N792" s="75">
        <f>VLOOKUP($B758,[11]Complaints!$A$4:$AJ$39,31,)</f>
        <v>0</v>
      </c>
      <c r="O792" s="76">
        <f>VLOOKUP($B758,[12]Complaints!$A$4:$AJ$39,31,)</f>
        <v>0</v>
      </c>
      <c r="P792" s="77">
        <f t="shared" si="205"/>
        <v>1</v>
      </c>
      <c r="Q792" s="50">
        <f>IF(P792=0,"",P792/$P766)</f>
        <v>8.3333333333333329E-2</v>
      </c>
      <c r="R792" s="18"/>
    </row>
    <row r="793" spans="1:19" ht="15.75" customHeight="1" x14ac:dyDescent="0.2">
      <c r="B793" s="146"/>
      <c r="C793" s="38" t="s">
        <v>113</v>
      </c>
      <c r="D793" s="66">
        <f>VLOOKUP($B758,[1]Complaints!$A$4:$AJ$39,32,)</f>
        <v>0</v>
      </c>
      <c r="E793" s="67">
        <f>VLOOKUP($B758,[2]Complaints!$A$4:$AJ$39,32,)</f>
        <v>0</v>
      </c>
      <c r="F793" s="67">
        <f>VLOOKUP($B758,[3]Complaints!$A$4:$AJ$39,32,)</f>
        <v>0</v>
      </c>
      <c r="G793" s="67">
        <f>VLOOKUP($B758,[4]Complaints!$A$4:$AJ$39,32,)</f>
        <v>0</v>
      </c>
      <c r="H793" s="67">
        <f>VLOOKUP($B758,[5]Complaints!$A$4:$AJ$39,32,)</f>
        <v>0</v>
      </c>
      <c r="I793" s="67">
        <f>VLOOKUP($B758,[6]Complaints!$A$4:$AJ$39,32,)</f>
        <v>0</v>
      </c>
      <c r="J793" s="67">
        <f>VLOOKUP($B758,[7]Complaints!$A$4:$AJ$39,32,)</f>
        <v>0</v>
      </c>
      <c r="K793" s="67">
        <f>VLOOKUP($B758,[8]Complaints!$A$4:$AJ$39,32,)</f>
        <v>0</v>
      </c>
      <c r="L793" s="67">
        <f>VLOOKUP($B758,[9]Complaints!$A$4:$AJ$39,32,)</f>
        <v>0</v>
      </c>
      <c r="M793" s="67">
        <f>VLOOKUP($B758,[10]Complaints!$A$4:$AJ$39,32,)</f>
        <v>0</v>
      </c>
      <c r="N793" s="67">
        <f>VLOOKUP($B758,[11]Complaints!$A$4:$AJ$39,32,)</f>
        <v>0</v>
      </c>
      <c r="O793" s="68">
        <f>VLOOKUP($B758,[12]Complaints!$A$4:$AJ$39,32,)</f>
        <v>0</v>
      </c>
      <c r="P793" s="69">
        <f t="shared" si="205"/>
        <v>0</v>
      </c>
      <c r="Q793" s="70" t="str">
        <f>IF(P793=0,"",P793/$P766)</f>
        <v/>
      </c>
      <c r="R793" s="18"/>
    </row>
    <row r="794" spans="1:19" ht="15.75" customHeight="1" x14ac:dyDescent="0.2">
      <c r="B794" s="146"/>
      <c r="C794" s="38" t="s">
        <v>114</v>
      </c>
      <c r="D794" s="66">
        <f>VLOOKUP($B758,[1]Complaints!$A$4:$AJ$39,33,)</f>
        <v>0</v>
      </c>
      <c r="E794" s="67">
        <f>VLOOKUP($B758,[2]Complaints!$A$4:$AJ$39,33,)</f>
        <v>0</v>
      </c>
      <c r="F794" s="67">
        <f>VLOOKUP($B758,[3]Complaints!$A$4:$AJ$39,33,)</f>
        <v>0</v>
      </c>
      <c r="G794" s="67">
        <f>VLOOKUP($B758,[4]Complaints!$A$4:$AJ$39,33,)</f>
        <v>0</v>
      </c>
      <c r="H794" s="67">
        <f>VLOOKUP($B758,[5]Complaints!$A$4:$AJ$39,33,)</f>
        <v>0</v>
      </c>
      <c r="I794" s="67">
        <f>VLOOKUP($B758,[6]Complaints!$A$4:$AJ$39,33,)</f>
        <v>0</v>
      </c>
      <c r="J794" s="67">
        <f>VLOOKUP($B758,[7]Complaints!$A$4:$AJ$39,33,)</f>
        <v>0</v>
      </c>
      <c r="K794" s="67">
        <f>VLOOKUP($B758,[8]Complaints!$A$4:$AJ$39,33,)</f>
        <v>0</v>
      </c>
      <c r="L794" s="67">
        <f>VLOOKUP($B758,[9]Complaints!$A$4:$AJ$39,33,)</f>
        <v>0</v>
      </c>
      <c r="M794" s="67">
        <f>VLOOKUP($B758,[10]Complaints!$A$4:$AJ$39,33,)</f>
        <v>0</v>
      </c>
      <c r="N794" s="67">
        <f>VLOOKUP($B758,[11]Complaints!$A$4:$AJ$39,33,)</f>
        <v>0</v>
      </c>
      <c r="O794" s="68">
        <f>VLOOKUP($B758,[12]Complaints!$A$4:$AJ$39,33,)</f>
        <v>0</v>
      </c>
      <c r="P794" s="69">
        <f t="shared" si="205"/>
        <v>0</v>
      </c>
      <c r="Q794" s="70" t="str">
        <f>IF(P794=0,"",P794/$P766)</f>
        <v/>
      </c>
      <c r="R794" s="18"/>
    </row>
    <row r="795" spans="1:19" ht="15.75" customHeight="1" x14ac:dyDescent="0.2">
      <c r="B795" s="146"/>
      <c r="C795" s="38" t="s">
        <v>115</v>
      </c>
      <c r="D795" s="66">
        <f>VLOOKUP($B758,[1]Complaints!$A$4:$AJ$39,34,)</f>
        <v>0</v>
      </c>
      <c r="E795" s="67">
        <f>VLOOKUP($B758,[2]Complaints!$A$4:$AJ$39,34,)</f>
        <v>0</v>
      </c>
      <c r="F795" s="67">
        <f>VLOOKUP($B758,[3]Complaints!$A$4:$AJ$39,34,)</f>
        <v>0</v>
      </c>
      <c r="G795" s="67">
        <f>VLOOKUP($B758,[4]Complaints!$A$4:$AJ$39,34,)</f>
        <v>0</v>
      </c>
      <c r="H795" s="67">
        <f>VLOOKUP($B758,[5]Complaints!$A$4:$AJ$39,34,)</f>
        <v>0</v>
      </c>
      <c r="I795" s="67">
        <f>VLOOKUP($B758,[6]Complaints!$A$4:$AJ$39,34,)</f>
        <v>0</v>
      </c>
      <c r="J795" s="67">
        <f>VLOOKUP($B758,[7]Complaints!$A$4:$AJ$39,34,)</f>
        <v>0</v>
      </c>
      <c r="K795" s="67">
        <f>VLOOKUP($B758,[8]Complaints!$A$4:$AJ$39,34,)</f>
        <v>0</v>
      </c>
      <c r="L795" s="67">
        <f>VLOOKUP($B758,[9]Complaints!$A$4:$AJ$39,34,)</f>
        <v>0</v>
      </c>
      <c r="M795" s="67">
        <f>VLOOKUP($B758,[10]Complaints!$A$4:$AJ$39,34,)</f>
        <v>0</v>
      </c>
      <c r="N795" s="67">
        <f>VLOOKUP($B758,[11]Complaints!$A$4:$AJ$39,34,)</f>
        <v>0</v>
      </c>
      <c r="O795" s="68">
        <f>VLOOKUP($B758,[12]Complaints!$A$4:$AJ$39,34,)</f>
        <v>0</v>
      </c>
      <c r="P795" s="69">
        <f t="shared" si="205"/>
        <v>0</v>
      </c>
      <c r="Q795" s="70" t="str">
        <f>IF(P795=0,"",P795/$P766)</f>
        <v/>
      </c>
      <c r="R795" s="18"/>
    </row>
    <row r="796" spans="1:19" ht="15.75" customHeight="1" x14ac:dyDescent="0.2">
      <c r="B796" s="146"/>
      <c r="C796" s="38" t="s">
        <v>116</v>
      </c>
      <c r="D796" s="66">
        <f>VLOOKUP($B758,[1]Complaints!$A$4:$AJ$39,35,)</f>
        <v>0</v>
      </c>
      <c r="E796" s="67">
        <f>VLOOKUP($B758,[2]Complaints!$A$4:$AJ$39,35,)</f>
        <v>0</v>
      </c>
      <c r="F796" s="67">
        <f>VLOOKUP($B758,[3]Complaints!$A$4:$AJ$39,35,)</f>
        <v>1</v>
      </c>
      <c r="G796" s="67">
        <f>VLOOKUP($B758,[4]Complaints!$A$4:$AJ$39,35,)</f>
        <v>0</v>
      </c>
      <c r="H796" s="67">
        <f>VLOOKUP($B758,[5]Complaints!$A$4:$AJ$39,35,)</f>
        <v>0</v>
      </c>
      <c r="I796" s="67">
        <f>VLOOKUP($B758,[6]Complaints!$A$4:$AJ$39,35,)</f>
        <v>0</v>
      </c>
      <c r="J796" s="67">
        <f>VLOOKUP($B758,[7]Complaints!$A$4:$AJ$39,35,)</f>
        <v>0</v>
      </c>
      <c r="K796" s="67">
        <f>VLOOKUP($B758,[8]Complaints!$A$4:$AJ$39,35,)</f>
        <v>0</v>
      </c>
      <c r="L796" s="67">
        <f>VLOOKUP($B758,[9]Complaints!$A$4:$AJ$39,35,)</f>
        <v>0</v>
      </c>
      <c r="M796" s="67">
        <f>VLOOKUP($B758,[10]Complaints!$A$4:$AJ$39,35,)</f>
        <v>0</v>
      </c>
      <c r="N796" s="67">
        <f>VLOOKUP($B758,[11]Complaints!$A$4:$AJ$39,35,)</f>
        <v>0</v>
      </c>
      <c r="O796" s="68">
        <f>VLOOKUP($B758,[12]Complaints!$A$4:$AJ$39,35,)</f>
        <v>0</v>
      </c>
      <c r="P796" s="69">
        <f t="shared" si="205"/>
        <v>1</v>
      </c>
      <c r="Q796" s="70">
        <f>IF(P796=0,"",P796/$P766)</f>
        <v>8.3333333333333329E-2</v>
      </c>
      <c r="R796" s="18"/>
    </row>
    <row r="797" spans="1:19" ht="15.75" customHeight="1" thickBot="1" x14ac:dyDescent="0.25">
      <c r="B797" s="147"/>
      <c r="C797" s="41" t="s">
        <v>117</v>
      </c>
      <c r="D797" s="78">
        <f>VLOOKUP($B758,[1]Complaints!$A$4:$AJ$39,36,)</f>
        <v>0</v>
      </c>
      <c r="E797" s="79">
        <f>VLOOKUP($B758,[2]Complaints!$A$4:$AJ$39,36,)</f>
        <v>0</v>
      </c>
      <c r="F797" s="79">
        <f>VLOOKUP($B758,[3]Complaints!$A$4:$AJ$39,36,)</f>
        <v>0</v>
      </c>
      <c r="G797" s="79">
        <f>VLOOKUP($B758,[4]Complaints!$A$4:$AJ$39,36,)</f>
        <v>0</v>
      </c>
      <c r="H797" s="79">
        <f>VLOOKUP($B758,[5]Complaints!$A$4:$AJ$39,36,)</f>
        <v>0</v>
      </c>
      <c r="I797" s="79">
        <f>VLOOKUP($B758,[6]Complaints!$A$4:$AJ$39,36,)</f>
        <v>0</v>
      </c>
      <c r="J797" s="79">
        <f>VLOOKUP($B758,[7]Complaints!$A$4:$AJ$39,36,)</f>
        <v>0</v>
      </c>
      <c r="K797" s="79">
        <f>VLOOKUP($B758,[8]Complaints!$A$4:$AJ$39,36,)</f>
        <v>0</v>
      </c>
      <c r="L797" s="79">
        <f>VLOOKUP($B758,[9]Complaints!$A$4:$AJ$39,36,)</f>
        <v>0</v>
      </c>
      <c r="M797" s="79">
        <f>VLOOKUP($B758,[10]Complaints!$A$4:$AJ$39,36,)</f>
        <v>0</v>
      </c>
      <c r="N797" s="79">
        <f>VLOOKUP($B758,[11]Complaints!$A$4:$AJ$39,36,)</f>
        <v>0</v>
      </c>
      <c r="O797" s="80">
        <f>VLOOKUP($B758,[12]Complaints!$A$4:$AJ$39,36,)</f>
        <v>0</v>
      </c>
      <c r="P797" s="81">
        <f t="shared" si="205"/>
        <v>0</v>
      </c>
      <c r="Q797" s="82" t="str">
        <f>IF(P797=0,"",P797/$P766)</f>
        <v/>
      </c>
      <c r="R797" s="18"/>
    </row>
    <row r="798" spans="1:19" ht="15.75" customHeight="1" thickBot="1" x14ac:dyDescent="0.25">
      <c r="R798" s="18"/>
    </row>
    <row r="799" spans="1:19" ht="15.75" customHeight="1" x14ac:dyDescent="0.25">
      <c r="B799" s="158" t="s">
        <v>42</v>
      </c>
      <c r="C799" s="159"/>
      <c r="D799" s="32" t="s">
        <v>0</v>
      </c>
      <c r="E799" s="20" t="s">
        <v>1</v>
      </c>
      <c r="F799" s="20" t="s">
        <v>2</v>
      </c>
      <c r="G799" s="20" t="s">
        <v>3</v>
      </c>
      <c r="H799" s="20" t="s">
        <v>4</v>
      </c>
      <c r="I799" s="20" t="s">
        <v>5</v>
      </c>
      <c r="J799" s="20" t="s">
        <v>6</v>
      </c>
      <c r="K799" s="20" t="s">
        <v>7</v>
      </c>
      <c r="L799" s="20" t="s">
        <v>8</v>
      </c>
      <c r="M799" s="20" t="s">
        <v>9</v>
      </c>
      <c r="N799" s="20" t="s">
        <v>10</v>
      </c>
      <c r="O799" s="33" t="s">
        <v>11</v>
      </c>
      <c r="P799" s="35" t="s">
        <v>12</v>
      </c>
      <c r="Q799" s="160" t="s">
        <v>104</v>
      </c>
      <c r="R799" s="18"/>
    </row>
    <row r="800" spans="1:19" s="21" customFormat="1" ht="15.75" customHeight="1" thickBot="1" x14ac:dyDescent="0.3">
      <c r="B800" s="162" t="s">
        <v>57</v>
      </c>
      <c r="C800" s="163"/>
      <c r="D800" s="34">
        <v>2020</v>
      </c>
      <c r="E800" s="34">
        <v>2020</v>
      </c>
      <c r="F800" s="34">
        <v>2020</v>
      </c>
      <c r="G800" s="34">
        <v>2020</v>
      </c>
      <c r="H800" s="34">
        <v>2020</v>
      </c>
      <c r="I800" s="34">
        <v>2020</v>
      </c>
      <c r="J800" s="34">
        <v>2020</v>
      </c>
      <c r="K800" s="34">
        <v>2020</v>
      </c>
      <c r="L800" s="34">
        <v>2020</v>
      </c>
      <c r="M800" s="25">
        <v>2021</v>
      </c>
      <c r="N800" s="25">
        <v>2021</v>
      </c>
      <c r="O800" s="25">
        <v>2021</v>
      </c>
      <c r="P800" s="36" t="s">
        <v>122</v>
      </c>
      <c r="Q800" s="161"/>
      <c r="S800" s="18"/>
    </row>
    <row r="801" spans="2:18" ht="12.75" customHeight="1" thickBot="1" x14ac:dyDescent="0.25">
      <c r="B801" s="164" t="s">
        <v>38</v>
      </c>
      <c r="C801" s="165"/>
      <c r="D801" s="42">
        <f>VLOOKUP($B800,[1]Complaints!$A$4:$AJ$39,2,)</f>
        <v>433</v>
      </c>
      <c r="E801" s="43">
        <f>VLOOKUP($B800,[2]Complaints!$A$4:$AJ$39,2,)</f>
        <v>653</v>
      </c>
      <c r="F801" s="43">
        <f>VLOOKUP($B800,[3]Complaints!$A$4:$AJ$39,2)</f>
        <v>924</v>
      </c>
      <c r="G801" s="43">
        <f>VLOOKUP($B800,[4]Complaints!$A$4:$AJ$39,2)</f>
        <v>1605</v>
      </c>
      <c r="H801" s="43">
        <f>VLOOKUP($B800,[5]Complaints!$A$4:$AJ$39,2)</f>
        <v>1758</v>
      </c>
      <c r="I801" s="43">
        <f>VLOOKUP($B800,[6]Complaints!$A$4:$AJ$39,2)</f>
        <v>2028</v>
      </c>
      <c r="J801" s="43">
        <f>VLOOKUP($B800,[7]Complaints!$A$4:$AJ$39,2)</f>
        <v>1947</v>
      </c>
      <c r="K801" s="43">
        <f>VLOOKUP($B800,[8]Complaints!$A$4:$AJ$39,2)</f>
        <v>1947</v>
      </c>
      <c r="L801" s="43">
        <f>VLOOKUP($B800,[9]Complaints!$A$4:$AJ$39,2)</f>
        <v>1997</v>
      </c>
      <c r="M801" s="43">
        <f>VLOOKUP($B800,[10]Complaints!$A$4:$AJ$39,2)</f>
        <v>1432</v>
      </c>
      <c r="N801" s="43">
        <f>VLOOKUP($B800,[11]Complaints!$A$4:$AJ$39,2)</f>
        <v>0</v>
      </c>
      <c r="O801" s="44">
        <f>VLOOKUP($B800,[12]Complaints!$A$4:$AJ$39,2)</f>
        <v>0</v>
      </c>
      <c r="P801" s="45">
        <f>SUM(D801:O801)</f>
        <v>14724</v>
      </c>
      <c r="Q801" s="46"/>
      <c r="R801" s="18"/>
    </row>
    <row r="802" spans="2:18" ht="15.75" customHeight="1" x14ac:dyDescent="0.2">
      <c r="B802" s="166" t="s">
        <v>94</v>
      </c>
      <c r="C802" s="167"/>
      <c r="D802" s="47">
        <f>VLOOKUP($B800,[1]Complaints!$A$4:$AF$39,3,)</f>
        <v>0</v>
      </c>
      <c r="E802" s="48">
        <f>VLOOKUP($B800,[2]Complaints!$A$4:$AF$39,3,)</f>
        <v>0</v>
      </c>
      <c r="F802" s="48">
        <f>VLOOKUP($B800,[3]Complaints!$A$4:$AG$39,3,)</f>
        <v>1</v>
      </c>
      <c r="G802" s="48">
        <f>VLOOKUP($B800,[4]Complaints!$A$4:$AG$39,3,)</f>
        <v>3</v>
      </c>
      <c r="H802" s="48">
        <f>VLOOKUP($B800,[5]Complaints!$A$4:$AG$39,3,)</f>
        <v>1</v>
      </c>
      <c r="I802" s="48">
        <f>VLOOKUP($B800,[6]Complaints!$A$4:$AG$39,3,)</f>
        <v>2</v>
      </c>
      <c r="J802" s="48">
        <f>VLOOKUP($B800,[7]Complaints!$A$4:$AG$39,3,)</f>
        <v>2</v>
      </c>
      <c r="K802" s="48">
        <f>VLOOKUP($B800,[8]Complaints!$A$4:$AG$39,3,)</f>
        <v>2</v>
      </c>
      <c r="L802" s="48">
        <f>VLOOKUP($B800,[9]Complaints!$A$4:$AG$39,3,)</f>
        <v>0</v>
      </c>
      <c r="M802" s="48">
        <f>VLOOKUP($B800,[10]Complaints!$A$4:$AG$39,3,)</f>
        <v>3</v>
      </c>
      <c r="N802" s="48">
        <f>VLOOKUP($B800,[11]Complaints!$A$4:$AG$39,3,)</f>
        <v>0</v>
      </c>
      <c r="O802" s="49">
        <f>VLOOKUP($B800,[12]Complaints!$A$4:$AG$39,3,)</f>
        <v>0</v>
      </c>
      <c r="P802" s="45">
        <f>SUM(D802:O802)</f>
        <v>14</v>
      </c>
      <c r="Q802" s="50"/>
      <c r="R802" s="18"/>
    </row>
    <row r="803" spans="2:18" ht="15.75" customHeight="1" x14ac:dyDescent="0.2">
      <c r="B803" s="26"/>
      <c r="C803" s="28" t="s">
        <v>102</v>
      </c>
      <c r="D803" s="51">
        <f>IF(D801=0,"",D802/D801)</f>
        <v>0</v>
      </c>
      <c r="E803" s="52">
        <f t="shared" ref="E803:O803" si="206">IF(E801=0,"",E802/E801)</f>
        <v>0</v>
      </c>
      <c r="F803" s="52">
        <f t="shared" si="206"/>
        <v>1.0822510822510823E-3</v>
      </c>
      <c r="G803" s="52">
        <f t="shared" si="206"/>
        <v>1.869158878504673E-3</v>
      </c>
      <c r="H803" s="52">
        <f t="shared" si="206"/>
        <v>5.6882821387940839E-4</v>
      </c>
      <c r="I803" s="52">
        <f t="shared" si="206"/>
        <v>9.8619329388560163E-4</v>
      </c>
      <c r="J803" s="52">
        <f t="shared" si="206"/>
        <v>1.0272213662044171E-3</v>
      </c>
      <c r="K803" s="52">
        <f t="shared" si="206"/>
        <v>1.0272213662044171E-3</v>
      </c>
      <c r="L803" s="52">
        <f t="shared" si="206"/>
        <v>0</v>
      </c>
      <c r="M803" s="52">
        <f t="shared" si="206"/>
        <v>2.0949720670391061E-3</v>
      </c>
      <c r="N803" s="52" t="str">
        <f t="shared" si="206"/>
        <v/>
      </c>
      <c r="O803" s="53" t="str">
        <f t="shared" si="206"/>
        <v/>
      </c>
      <c r="P803" s="54">
        <f>IF(P802="","",P802/P801)</f>
        <v>9.5082857919043739E-4</v>
      </c>
      <c r="Q803" s="50"/>
      <c r="R803" s="18"/>
    </row>
    <row r="804" spans="2:18" s="21" customFormat="1" ht="15.75" customHeight="1" x14ac:dyDescent="0.2">
      <c r="B804" s="155" t="s">
        <v>95</v>
      </c>
      <c r="C804" s="156"/>
      <c r="D804" s="47">
        <f>VLOOKUP($B800,[1]Complaints!$A$4:$AF$39,4,)</f>
        <v>0</v>
      </c>
      <c r="E804" s="48">
        <f>VLOOKUP($B800,[2]Complaints!$A$4:$AF$39,4,)</f>
        <v>0</v>
      </c>
      <c r="F804" s="48">
        <f>VLOOKUP($B800,[3]Complaints!$A$4:$AG$39,4,)</f>
        <v>0</v>
      </c>
      <c r="G804" s="48">
        <f>VLOOKUP($B800,[4]Complaints!$A$4:$AG$39,4,)</f>
        <v>0</v>
      </c>
      <c r="H804" s="48">
        <f>VLOOKUP($B800,[5]Complaints!$A$4:$AG$39,4,)</f>
        <v>0</v>
      </c>
      <c r="I804" s="48">
        <f>VLOOKUP($B800,[6]Complaints!$A$4:$AG$39,4,)</f>
        <v>0</v>
      </c>
      <c r="J804" s="48">
        <f>VLOOKUP($B800,[7]Complaints!$A$4:$AG$39,4,)</f>
        <v>0</v>
      </c>
      <c r="K804" s="48">
        <f>VLOOKUP($B800,[8]Complaints!$A$4:$AG$39,4,)</f>
        <v>0</v>
      </c>
      <c r="L804" s="48">
        <f>VLOOKUP($B800,[9]Complaints!$A$4:$AG$39,4,)</f>
        <v>0</v>
      </c>
      <c r="M804" s="48">
        <f>VLOOKUP($B800,[10]Complaints!$A$4:$AG$39,4,)</f>
        <v>1</v>
      </c>
      <c r="N804" s="48">
        <f>VLOOKUP($B800,[11]Complaints!$A$4:$AG$39,4,)</f>
        <v>0</v>
      </c>
      <c r="O804" s="49">
        <f>VLOOKUP($B800,[12]Complaints!$A$4:$AG$39,4,)</f>
        <v>0</v>
      </c>
      <c r="P804" s="55">
        <f t="shared" ref="P804" si="207">SUM(D804:O804)</f>
        <v>1</v>
      </c>
      <c r="Q804" s="50"/>
    </row>
    <row r="805" spans="2:18" ht="15.75" customHeight="1" x14ac:dyDescent="0.2">
      <c r="B805" s="26"/>
      <c r="C805" s="28" t="s">
        <v>98</v>
      </c>
      <c r="D805" s="51">
        <f>IF(D801=0,"",D804/D801)</f>
        <v>0</v>
      </c>
      <c r="E805" s="52">
        <f t="shared" ref="E805:O805" si="208">IF(E801=0,"",E804/E801)</f>
        <v>0</v>
      </c>
      <c r="F805" s="52">
        <f t="shared" si="208"/>
        <v>0</v>
      </c>
      <c r="G805" s="52">
        <f t="shared" si="208"/>
        <v>0</v>
      </c>
      <c r="H805" s="52">
        <f t="shared" si="208"/>
        <v>0</v>
      </c>
      <c r="I805" s="52">
        <f t="shared" si="208"/>
        <v>0</v>
      </c>
      <c r="J805" s="52">
        <f t="shared" si="208"/>
        <v>0</v>
      </c>
      <c r="K805" s="52">
        <f t="shared" si="208"/>
        <v>0</v>
      </c>
      <c r="L805" s="52">
        <f t="shared" si="208"/>
        <v>0</v>
      </c>
      <c r="M805" s="52">
        <f t="shared" si="208"/>
        <v>6.9832402234636874E-4</v>
      </c>
      <c r="N805" s="52" t="str">
        <f t="shared" si="208"/>
        <v/>
      </c>
      <c r="O805" s="53" t="str">
        <f t="shared" si="208"/>
        <v/>
      </c>
      <c r="P805" s="54">
        <f>IF(P804="","",P804/P801)</f>
        <v>6.7916327085031238E-5</v>
      </c>
      <c r="Q805" s="50"/>
      <c r="R805" s="18"/>
    </row>
    <row r="806" spans="2:18" ht="15.75" customHeight="1" x14ac:dyDescent="0.2">
      <c r="B806" s="155" t="s">
        <v>96</v>
      </c>
      <c r="C806" s="156"/>
      <c r="D806" s="47">
        <f>VLOOKUP($B800,[1]Complaints!$A$4:$AF$39,5,)</f>
        <v>0</v>
      </c>
      <c r="E806" s="48">
        <f>VLOOKUP($B800,[2]Complaints!$A$4:$AF$39,5,)</f>
        <v>0</v>
      </c>
      <c r="F806" s="48">
        <f>VLOOKUP($B800,[3]Complaints!$A$4:$AG$39,5,)</f>
        <v>1</v>
      </c>
      <c r="G806" s="48">
        <f>VLOOKUP($B800,[4]Complaints!$A$4:$AG$39,5,)</f>
        <v>3</v>
      </c>
      <c r="H806" s="48">
        <f>VLOOKUP($B800,[5]Complaints!$A$4:$AG$39,5,)</f>
        <v>1</v>
      </c>
      <c r="I806" s="48">
        <f>VLOOKUP($B800,[6]Complaints!$A$4:$AG$39,5,)</f>
        <v>2</v>
      </c>
      <c r="J806" s="48">
        <f>VLOOKUP($B800,[7]Complaints!$A$4:$AG$39,5,)</f>
        <v>2</v>
      </c>
      <c r="K806" s="48">
        <f>VLOOKUP($B800,[8]Complaints!$A$4:$AG$39,5,)</f>
        <v>2</v>
      </c>
      <c r="L806" s="48">
        <f>VLOOKUP($B800,[9]Complaints!$A$4:$AG$39,5,)</f>
        <v>0</v>
      </c>
      <c r="M806" s="48">
        <f>VLOOKUP($B800,[10]Complaints!$A$4:$AG$39,5,)</f>
        <v>2</v>
      </c>
      <c r="N806" s="48">
        <f>VLOOKUP($B800,[11]Complaints!$A$4:$AG$39,5,)</f>
        <v>0</v>
      </c>
      <c r="O806" s="49">
        <f>VLOOKUP($B800,[12]Complaints!$A$4:$AG$39,5,)</f>
        <v>0</v>
      </c>
      <c r="P806" s="55">
        <f t="shared" ref="P806" si="209">SUM(D806:O806)</f>
        <v>13</v>
      </c>
      <c r="Q806" s="50"/>
      <c r="R806" s="18"/>
    </row>
    <row r="807" spans="2:18" ht="15.75" customHeight="1" x14ac:dyDescent="0.2">
      <c r="B807" s="26"/>
      <c r="C807" s="28" t="s">
        <v>99</v>
      </c>
      <c r="D807" s="51">
        <f>IF(D801=0,"",D806/D801)</f>
        <v>0</v>
      </c>
      <c r="E807" s="52">
        <f t="shared" ref="E807:O807" si="210">IF(E801=0,"",E806/E801)</f>
        <v>0</v>
      </c>
      <c r="F807" s="52">
        <f t="shared" si="210"/>
        <v>1.0822510822510823E-3</v>
      </c>
      <c r="G807" s="52">
        <f t="shared" si="210"/>
        <v>1.869158878504673E-3</v>
      </c>
      <c r="H807" s="52">
        <f t="shared" si="210"/>
        <v>5.6882821387940839E-4</v>
      </c>
      <c r="I807" s="52">
        <f t="shared" si="210"/>
        <v>9.8619329388560163E-4</v>
      </c>
      <c r="J807" s="52">
        <f t="shared" si="210"/>
        <v>1.0272213662044171E-3</v>
      </c>
      <c r="K807" s="52">
        <f t="shared" si="210"/>
        <v>1.0272213662044171E-3</v>
      </c>
      <c r="L807" s="52">
        <f t="shared" si="210"/>
        <v>0</v>
      </c>
      <c r="M807" s="52">
        <f t="shared" si="210"/>
        <v>1.3966480446927375E-3</v>
      </c>
      <c r="N807" s="52" t="str">
        <f t="shared" si="210"/>
        <v/>
      </c>
      <c r="O807" s="53" t="str">
        <f t="shared" si="210"/>
        <v/>
      </c>
      <c r="P807" s="54">
        <f>IF(P806="","",P806/P801)</f>
        <v>8.8291225210540612E-4</v>
      </c>
      <c r="Q807" s="50"/>
      <c r="R807" s="18"/>
    </row>
    <row r="808" spans="2:18" ht="15.75" customHeight="1" x14ac:dyDescent="0.2">
      <c r="B808" s="157" t="s">
        <v>97</v>
      </c>
      <c r="C808" s="156"/>
      <c r="D808" s="47">
        <f>VLOOKUP($B800,[1]Complaints!$A$4:$AF$39,6,)</f>
        <v>0</v>
      </c>
      <c r="E808" s="48">
        <f>VLOOKUP($B800,[2]Complaints!$A$4:$AF$39,6,)</f>
        <v>0</v>
      </c>
      <c r="F808" s="48">
        <f>VLOOKUP($B800,[3]Complaints!$A$4:$AG$39,6,)</f>
        <v>1</v>
      </c>
      <c r="G808" s="48">
        <f>VLOOKUP($B800,[4]Complaints!$A$4:$AG$39,6,)</f>
        <v>1</v>
      </c>
      <c r="H808" s="48">
        <f>VLOOKUP($B800,[5]Complaints!$A$4:$AG$39,6,)</f>
        <v>0</v>
      </c>
      <c r="I808" s="48">
        <f>VLOOKUP($B800,[6]Complaints!$A$4:$AG$39,6,)</f>
        <v>1</v>
      </c>
      <c r="J808" s="48">
        <f>VLOOKUP($B800,[7]Complaints!$A$4:$AG$39,6,)</f>
        <v>2</v>
      </c>
      <c r="K808" s="48">
        <f>VLOOKUP($B800,[8]Complaints!$A$4:$AG$39,6,)</f>
        <v>2</v>
      </c>
      <c r="L808" s="48">
        <f>VLOOKUP($B800,[9]Complaints!$A$4:$AG$39,6,)</f>
        <v>0</v>
      </c>
      <c r="M808" s="48">
        <f>VLOOKUP($B800,[10]Complaints!$A$4:$AG$39,6,)</f>
        <v>2</v>
      </c>
      <c r="N808" s="48">
        <f>VLOOKUP($B800,[11]Complaints!$A$4:$AG$39,6,)</f>
        <v>0</v>
      </c>
      <c r="O808" s="49">
        <f>VLOOKUP($B800,[12]Complaints!$A$4:$AG$39,6,)</f>
        <v>0</v>
      </c>
      <c r="P808" s="55">
        <f t="shared" ref="P808" si="211">SUM(D808:O808)</f>
        <v>9</v>
      </c>
      <c r="Q808" s="50"/>
      <c r="R808" s="18"/>
    </row>
    <row r="809" spans="2:18" ht="15.75" customHeight="1" thickBot="1" x14ac:dyDescent="0.25">
      <c r="B809" s="27"/>
      <c r="C809" s="29" t="s">
        <v>100</v>
      </c>
      <c r="D809" s="56" t="str">
        <f>IF(D808=0,"",D808/D806)</f>
        <v/>
      </c>
      <c r="E809" s="57" t="str">
        <f t="shared" ref="E809:H809" si="212">IF(E808=0,"",E808/E806)</f>
        <v/>
      </c>
      <c r="F809" s="57">
        <f t="shared" si="212"/>
        <v>1</v>
      </c>
      <c r="G809" s="57">
        <f t="shared" si="212"/>
        <v>0.33333333333333331</v>
      </c>
      <c r="H809" s="57" t="str">
        <f t="shared" si="212"/>
        <v/>
      </c>
      <c r="I809" s="57">
        <f>IF(I808=0,"",I808/I806)</f>
        <v>0.5</v>
      </c>
      <c r="J809" s="57">
        <f t="shared" ref="J809:O809" si="213">IF(J808=0,"",J808/J806)</f>
        <v>1</v>
      </c>
      <c r="K809" s="57">
        <f t="shared" si="213"/>
        <v>1</v>
      </c>
      <c r="L809" s="57" t="str">
        <f t="shared" si="213"/>
        <v/>
      </c>
      <c r="M809" s="57">
        <f t="shared" si="213"/>
        <v>1</v>
      </c>
      <c r="N809" s="57" t="str">
        <f t="shared" si="213"/>
        <v/>
      </c>
      <c r="O809" s="58" t="str">
        <f t="shared" si="213"/>
        <v/>
      </c>
      <c r="P809" s="59">
        <f>IF(P808=0,"",P808/P806)</f>
        <v>0.69230769230769229</v>
      </c>
      <c r="Q809" s="60"/>
      <c r="R809" s="18"/>
    </row>
    <row r="810" spans="2:18" ht="15.75" customHeight="1" x14ac:dyDescent="0.2">
      <c r="B810" s="168" t="s">
        <v>103</v>
      </c>
      <c r="C810" s="30" t="s">
        <v>77</v>
      </c>
      <c r="D810" s="61">
        <f>VLOOKUP($B800,[1]Complaints!$A$4:$AJ$39,7,)</f>
        <v>0</v>
      </c>
      <c r="E810" s="43">
        <f>VLOOKUP($B800,[2]Complaints!$A$4:$AJ$39,7,)</f>
        <v>0</v>
      </c>
      <c r="F810" s="43">
        <f>VLOOKUP($B800,[3]Complaints!$A$4:$AJ$39,7,)</f>
        <v>0</v>
      </c>
      <c r="G810" s="43">
        <f>VLOOKUP($B800,[4]Complaints!$A$4:$AJ$39,7,)</f>
        <v>0</v>
      </c>
      <c r="H810" s="43">
        <f>VLOOKUP($B800,[5]Complaints!$A$4:$AJ$39,7,)</f>
        <v>0</v>
      </c>
      <c r="I810" s="43">
        <f>VLOOKUP($B800,[6]Complaints!$A$4:$AJ$39,7,)</f>
        <v>0</v>
      </c>
      <c r="J810" s="43">
        <f>VLOOKUP($B800,[7]Complaints!$A$4:$AJ$39,7,)</f>
        <v>0</v>
      </c>
      <c r="K810" s="43">
        <f>VLOOKUP($B800,[8]Complaints!$A$4:$AJ$39,7,)</f>
        <v>0</v>
      </c>
      <c r="L810" s="43">
        <f>VLOOKUP($B800,[9]Complaints!$A$4:$AJ$39,7,)</f>
        <v>0</v>
      </c>
      <c r="M810" s="43">
        <f>VLOOKUP($B800,[10]Complaints!$A$4:$AJ$39,7,)</f>
        <v>0</v>
      </c>
      <c r="N810" s="43">
        <f>VLOOKUP($B800,[11]Complaints!$A$4:$AJ$39,7,)</f>
        <v>0</v>
      </c>
      <c r="O810" s="44">
        <f>VLOOKUP($B800,[12]Complaints!$A$4:$AJ$39,7,)</f>
        <v>0</v>
      </c>
      <c r="P810" s="45">
        <f>SUM(D810:O810)</f>
        <v>0</v>
      </c>
      <c r="Q810" s="46" t="str">
        <f>IF(P810=0,"",P810/$P802)</f>
        <v/>
      </c>
      <c r="R810" s="18"/>
    </row>
    <row r="811" spans="2:18" ht="15.75" customHeight="1" x14ac:dyDescent="0.2">
      <c r="B811" s="169"/>
      <c r="C811" s="31" t="s">
        <v>89</v>
      </c>
      <c r="D811" s="47">
        <f>VLOOKUP($B800,[1]Complaints!$A$4:$AJ$39,8,)</f>
        <v>0</v>
      </c>
      <c r="E811" s="48">
        <f>VLOOKUP($B800,[2]Complaints!$A$4:$AJ$39,8,)</f>
        <v>0</v>
      </c>
      <c r="F811" s="48">
        <f>VLOOKUP($B800,[3]Complaints!$A$4:$AJ$39,8,)</f>
        <v>0</v>
      </c>
      <c r="G811" s="48">
        <f>VLOOKUP($B800,[4]Complaints!$A$4:$AJ$39,8,)</f>
        <v>3</v>
      </c>
      <c r="H811" s="48">
        <f>VLOOKUP($B800,[5]Complaints!$A$4:$AJ$39,8,)</f>
        <v>1</v>
      </c>
      <c r="I811" s="48">
        <f>VLOOKUP($B800,[6]Complaints!$A$4:$AJ$39,8,)</f>
        <v>2</v>
      </c>
      <c r="J811" s="48">
        <f>VLOOKUP($B800,[7]Complaints!$A$4:$AJ$39,8,)</f>
        <v>2</v>
      </c>
      <c r="K811" s="48">
        <f>VLOOKUP($B800,[8]Complaints!$A$4:$AJ$39,8,)</f>
        <v>0</v>
      </c>
      <c r="L811" s="48">
        <f>VLOOKUP($B800,[9]Complaints!$A$4:$AJ$39,8,)</f>
        <v>0</v>
      </c>
      <c r="M811" s="48">
        <f>VLOOKUP($B800,[10]Complaints!$A$4:$AJ$39,8,)</f>
        <v>2</v>
      </c>
      <c r="N811" s="48">
        <f>VLOOKUP($B800,[11]Complaints!$A$4:$AJ$39,8,)</f>
        <v>0</v>
      </c>
      <c r="O811" s="49">
        <f>VLOOKUP($B800,[12]Complaints!$A$4:$AJ$39,8,)</f>
        <v>0</v>
      </c>
      <c r="P811" s="55">
        <f t="shared" ref="P811:P812" si="214">SUM(D811:O811)</f>
        <v>10</v>
      </c>
      <c r="Q811" s="50">
        <f>IF(P811="","",P811/$P802)</f>
        <v>0.7142857142857143</v>
      </c>
      <c r="R811" s="18"/>
    </row>
    <row r="812" spans="2:18" ht="15.75" customHeight="1" x14ac:dyDescent="0.2">
      <c r="B812" s="169"/>
      <c r="C812" s="31" t="s">
        <v>88</v>
      </c>
      <c r="D812" s="47">
        <f>VLOOKUP($B800,[1]Complaints!$A$4:$AJ$39,9,)</f>
        <v>0</v>
      </c>
      <c r="E812" s="48">
        <f>VLOOKUP($B800,[2]Complaints!$A$4:$AJ$39,9,)</f>
        <v>0</v>
      </c>
      <c r="F812" s="48">
        <f>VLOOKUP($B800,[3]Complaints!$A$4:$AJ$39,9,)</f>
        <v>0</v>
      </c>
      <c r="G812" s="48">
        <f>VLOOKUP($B800,[4]Complaints!$A$4:$AJ$39,9,)</f>
        <v>0</v>
      </c>
      <c r="H812" s="48">
        <f>VLOOKUP($B800,[5]Complaints!$A$4:$AJ$39,9,)</f>
        <v>0</v>
      </c>
      <c r="I812" s="48">
        <f>VLOOKUP($B800,[6]Complaints!$A$4:$AJ$39,9,)</f>
        <v>0</v>
      </c>
      <c r="J812" s="48">
        <f>VLOOKUP($B800,[7]Complaints!$A$4:$AJ$39,9,)</f>
        <v>0</v>
      </c>
      <c r="K812" s="48">
        <f>VLOOKUP($B800,[8]Complaints!$A$4:$AJ$39,9,)</f>
        <v>0</v>
      </c>
      <c r="L812" s="48">
        <f>VLOOKUP($B800,[9]Complaints!$A$4:$AJ$39,9,)</f>
        <v>0</v>
      </c>
      <c r="M812" s="48">
        <f>VLOOKUP($B800,[10]Complaints!$A$4:$AJ$39,9,)</f>
        <v>0</v>
      </c>
      <c r="N812" s="48">
        <f>VLOOKUP($B800,[11]Complaints!$A$4:$AJ$39,9,)</f>
        <v>0</v>
      </c>
      <c r="O812" s="49">
        <f>VLOOKUP($B800,[12]Complaints!$A$4:$AJ$39,9,)</f>
        <v>0</v>
      </c>
      <c r="P812" s="55">
        <f t="shared" si="214"/>
        <v>0</v>
      </c>
      <c r="Q812" s="50" t="str">
        <f>IF(P812=0,"",P812/$P802)</f>
        <v/>
      </c>
      <c r="R812" s="18"/>
    </row>
    <row r="813" spans="2:18" ht="15.75" customHeight="1" x14ac:dyDescent="0.2">
      <c r="B813" s="169"/>
      <c r="C813" s="31" t="s">
        <v>13</v>
      </c>
      <c r="D813" s="47">
        <f>VLOOKUP($B800,[1]Complaints!$A$4:$AJ$39,10,)</f>
        <v>0</v>
      </c>
      <c r="E813" s="48">
        <f>VLOOKUP($B800,[2]Complaints!$A$4:$AJ$39,10,)</f>
        <v>0</v>
      </c>
      <c r="F813" s="48">
        <f>VLOOKUP($B800,[3]Complaints!$A$4:$AJ$39,10,)</f>
        <v>0</v>
      </c>
      <c r="G813" s="48">
        <f>VLOOKUP($B800,[4]Complaints!$A$4:$AJ$39,10,)</f>
        <v>0</v>
      </c>
      <c r="H813" s="48">
        <f>VLOOKUP($B800,[5]Complaints!$A$4:$AJ$39,10,)</f>
        <v>0</v>
      </c>
      <c r="I813" s="48">
        <f>VLOOKUP($B800,[6]Complaints!$A$4:$AJ$39,10,)</f>
        <v>0</v>
      </c>
      <c r="J813" s="48">
        <f>VLOOKUP($B800,[7]Complaints!$A$4:$AJ$39,10,)</f>
        <v>0</v>
      </c>
      <c r="K813" s="48">
        <f>VLOOKUP($B800,[8]Complaints!$A$4:$AJ$39,10,)</f>
        <v>0</v>
      </c>
      <c r="L813" s="48">
        <f>VLOOKUP($B800,[9]Complaints!$A$4:$AJ$39,10,)</f>
        <v>0</v>
      </c>
      <c r="M813" s="48">
        <f>VLOOKUP($B800,[10]Complaints!$A$4:$AJ$39,10,)</f>
        <v>1</v>
      </c>
      <c r="N813" s="48">
        <f>VLOOKUP($B800,[11]Complaints!$A$4:$AJ$39,10,)</f>
        <v>0</v>
      </c>
      <c r="O813" s="49">
        <f>VLOOKUP($B800,[12]Complaints!$A$4:$AJ$39,10,)</f>
        <v>0</v>
      </c>
      <c r="P813" s="55">
        <f>SUM(D813:O813)</f>
        <v>1</v>
      </c>
      <c r="Q813" s="50">
        <f>IF(P813=0,"",P813/$P802)</f>
        <v>7.1428571428571425E-2</v>
      </c>
      <c r="R813" s="18"/>
    </row>
    <row r="814" spans="2:18" ht="15.75" customHeight="1" x14ac:dyDescent="0.2">
      <c r="B814" s="169"/>
      <c r="C814" s="31" t="s">
        <v>101</v>
      </c>
      <c r="D814" s="47">
        <f>VLOOKUP($B800,[1]Complaints!$A$4:$AJ$39,11,)</f>
        <v>0</v>
      </c>
      <c r="E814" s="48">
        <f>VLOOKUP($B800,[2]Complaints!$A$4:$AJ$39,11,)</f>
        <v>0</v>
      </c>
      <c r="F814" s="48">
        <f>VLOOKUP($B800,[3]Complaints!$A$4:$AJ$39,11,)</f>
        <v>0</v>
      </c>
      <c r="G814" s="48">
        <f>VLOOKUP($B800,[4]Complaints!$A$4:$AJ$39,11,)</f>
        <v>0</v>
      </c>
      <c r="H814" s="48">
        <f>VLOOKUP($B800,[5]Complaints!$A$4:$AJ$39,11,)</f>
        <v>0</v>
      </c>
      <c r="I814" s="48">
        <f>VLOOKUP($B800,[6]Complaints!$A$4:$AJ$39,11,)</f>
        <v>0</v>
      </c>
      <c r="J814" s="48">
        <f>VLOOKUP($B800,[7]Complaints!$A$4:$AJ$39,11,)</f>
        <v>0</v>
      </c>
      <c r="K814" s="48">
        <f>VLOOKUP($B800,[8]Complaints!$A$4:$AJ$39,11,)</f>
        <v>0</v>
      </c>
      <c r="L814" s="48">
        <f>VLOOKUP($B800,[9]Complaints!$A$4:$AJ$39,11,)</f>
        <v>0</v>
      </c>
      <c r="M814" s="48">
        <f>VLOOKUP($B800,[10]Complaints!$A$4:$AJ$39,11,)</f>
        <v>0</v>
      </c>
      <c r="N814" s="48">
        <f>VLOOKUP($B800,[11]Complaints!$A$4:$AJ$39,11,)</f>
        <v>0</v>
      </c>
      <c r="O814" s="49">
        <f>VLOOKUP($B800,[12]Complaints!$A$4:$AJ$39,11,)</f>
        <v>0</v>
      </c>
      <c r="P814" s="55">
        <f t="shared" ref="P814:P823" si="215">SUM(D814:O814)</f>
        <v>0</v>
      </c>
      <c r="Q814" s="50" t="str">
        <f>IF(P814=0,"",P814/$P802)</f>
        <v/>
      </c>
      <c r="R814" s="18"/>
    </row>
    <row r="815" spans="2:18" s="19" customFormat="1" ht="15.75" customHeight="1" x14ac:dyDescent="0.2">
      <c r="B815" s="169"/>
      <c r="C815" s="31" t="s">
        <v>93</v>
      </c>
      <c r="D815" s="47">
        <f>VLOOKUP($B800,[1]Complaints!$A$4:$AJ$39,12,)</f>
        <v>0</v>
      </c>
      <c r="E815" s="48">
        <f>VLOOKUP($B800,[2]Complaints!$A$4:$AJ$39,12,)</f>
        <v>0</v>
      </c>
      <c r="F815" s="48">
        <f>VLOOKUP($B800,[3]Complaints!$A$4:$AJ$39,12,)</f>
        <v>0</v>
      </c>
      <c r="G815" s="48">
        <f>VLOOKUP($B800,[4]Complaints!$A$4:$AJ$39,12,)</f>
        <v>0</v>
      </c>
      <c r="H815" s="48">
        <f>VLOOKUP($B800,[5]Complaints!$A$4:$AJ$39,12,)</f>
        <v>0</v>
      </c>
      <c r="I815" s="48">
        <f>VLOOKUP($B800,[6]Complaints!$A$4:$AJ$39,12,)</f>
        <v>0</v>
      </c>
      <c r="J815" s="48">
        <f>VLOOKUP($B800,[7]Complaints!$A$4:$AJ$39,12,)</f>
        <v>0</v>
      </c>
      <c r="K815" s="48">
        <f>VLOOKUP($B800,[8]Complaints!$A$4:$AJ$39,12,)</f>
        <v>0</v>
      </c>
      <c r="L815" s="48">
        <f>VLOOKUP($B800,[9]Complaints!$A$4:$AJ$39,12,)</f>
        <v>0</v>
      </c>
      <c r="M815" s="48">
        <f>VLOOKUP($B800,[10]Complaints!$A$4:$AJ$39,12,)</f>
        <v>0</v>
      </c>
      <c r="N815" s="48">
        <f>VLOOKUP($B800,[11]Complaints!$A$4:$AJ$39,12,)</f>
        <v>0</v>
      </c>
      <c r="O815" s="49">
        <f>VLOOKUP($B800,[12]Complaints!$A$4:$AJ$39,12,)</f>
        <v>0</v>
      </c>
      <c r="P815" s="55">
        <f t="shared" si="215"/>
        <v>0</v>
      </c>
      <c r="Q815" s="50" t="str">
        <f>IF(P815=0,"",P815/$P802)</f>
        <v/>
      </c>
    </row>
    <row r="816" spans="2:18" ht="15.75" customHeight="1" x14ac:dyDescent="0.2">
      <c r="B816" s="169"/>
      <c r="C816" s="31" t="s">
        <v>78</v>
      </c>
      <c r="D816" s="47">
        <f>VLOOKUP($B800,[1]Complaints!$A$4:$AJ$39,13,)</f>
        <v>0</v>
      </c>
      <c r="E816" s="48">
        <f>VLOOKUP($B800,[2]Complaints!$A$4:$AJ$39,13,)</f>
        <v>0</v>
      </c>
      <c r="F816" s="48">
        <f>VLOOKUP($B800,[3]Complaints!$A$4:$AJ$39,13,)</f>
        <v>0</v>
      </c>
      <c r="G816" s="48">
        <f>VLOOKUP($B800,[4]Complaints!$A$4:$AJ$39,13,)</f>
        <v>0</v>
      </c>
      <c r="H816" s="48">
        <f>VLOOKUP($B800,[5]Complaints!$A$4:$AJ$39,13,)</f>
        <v>0</v>
      </c>
      <c r="I816" s="48">
        <f>VLOOKUP($B800,[6]Complaints!$A$4:$AJ$39,13,)</f>
        <v>0</v>
      </c>
      <c r="J816" s="48">
        <f>VLOOKUP($B800,[7]Complaints!$A$4:$AJ$39,13,)</f>
        <v>0</v>
      </c>
      <c r="K816" s="48">
        <f>VLOOKUP($B800,[8]Complaints!$A$4:$AJ$39,13,)</f>
        <v>0</v>
      </c>
      <c r="L816" s="48">
        <f>VLOOKUP($B800,[9]Complaints!$A$4:$AJ$39,13,)</f>
        <v>0</v>
      </c>
      <c r="M816" s="48">
        <f>VLOOKUP($B800,[10]Complaints!$A$4:$AJ$39,13,)</f>
        <v>0</v>
      </c>
      <c r="N816" s="48">
        <f>VLOOKUP($B800,[11]Complaints!$A$4:$AJ$39,13,)</f>
        <v>0</v>
      </c>
      <c r="O816" s="49">
        <f>VLOOKUP($B800,[12]Complaints!$A$4:$AJ$39,13,)</f>
        <v>0</v>
      </c>
      <c r="P816" s="55">
        <f t="shared" si="215"/>
        <v>0</v>
      </c>
      <c r="Q816" s="50" t="str">
        <f>IF(P816=0,"",P816/$P802)</f>
        <v/>
      </c>
      <c r="R816" s="18"/>
    </row>
    <row r="817" spans="1:19" ht="15.75" customHeight="1" x14ac:dyDescent="0.2">
      <c r="B817" s="169"/>
      <c r="C817" s="31" t="s">
        <v>92</v>
      </c>
      <c r="D817" s="47">
        <f>VLOOKUP($B800,[1]Complaints!$A$4:$AJ$39,14,)</f>
        <v>0</v>
      </c>
      <c r="E817" s="48">
        <f>VLOOKUP($B800,[2]Complaints!$A$4:$AJ$39,14,)</f>
        <v>0</v>
      </c>
      <c r="F817" s="48">
        <f>VLOOKUP($B800,[3]Complaints!$A$4:$AJ$39,14,)</f>
        <v>0</v>
      </c>
      <c r="G817" s="48">
        <f>VLOOKUP($B800,[4]Complaints!$A$4:$AJ$39,14,)</f>
        <v>0</v>
      </c>
      <c r="H817" s="48">
        <f>VLOOKUP($B800,[5]Complaints!$A$4:$AJ$39,14,)</f>
        <v>0</v>
      </c>
      <c r="I817" s="48">
        <f>VLOOKUP($B800,[6]Complaints!$A$4:$AJ$39,14,)</f>
        <v>0</v>
      </c>
      <c r="J817" s="48">
        <f>VLOOKUP($B800,[7]Complaints!$A$4:$AJ$39,14,)</f>
        <v>0</v>
      </c>
      <c r="K817" s="48">
        <f>VLOOKUP($B800,[8]Complaints!$A$4:$AJ$39,14,)</f>
        <v>0</v>
      </c>
      <c r="L817" s="48">
        <f>VLOOKUP($B800,[9]Complaints!$A$4:$AJ$39,14,)</f>
        <v>0</v>
      </c>
      <c r="M817" s="48">
        <f>VLOOKUP($B800,[10]Complaints!$A$4:$AJ$39,14,)</f>
        <v>0</v>
      </c>
      <c r="N817" s="48">
        <f>VLOOKUP($B800,[11]Complaints!$A$4:$AJ$39,14,)</f>
        <v>0</v>
      </c>
      <c r="O817" s="49">
        <f>VLOOKUP($B800,[12]Complaints!$A$4:$AJ$39,14,)</f>
        <v>0</v>
      </c>
      <c r="P817" s="55">
        <f t="shared" si="215"/>
        <v>0</v>
      </c>
      <c r="Q817" s="50" t="str">
        <f>IF(P817=0,"",P817/$P802)</f>
        <v/>
      </c>
      <c r="R817" s="18"/>
    </row>
    <row r="818" spans="1:19" ht="15.75" customHeight="1" x14ac:dyDescent="0.2">
      <c r="B818" s="169"/>
      <c r="C818" s="31" t="s">
        <v>91</v>
      </c>
      <c r="D818" s="47">
        <f>VLOOKUP($B800,[1]Complaints!$A$4:$AJ$39,15,)</f>
        <v>0</v>
      </c>
      <c r="E818" s="48">
        <f>VLOOKUP($B800,[2]Complaints!$A$4:$AJ$39,15,)</f>
        <v>0</v>
      </c>
      <c r="F818" s="48">
        <f>VLOOKUP($B800,[3]Complaints!$A$4:$AJ$39,15,)</f>
        <v>1</v>
      </c>
      <c r="G818" s="48">
        <f>VLOOKUP($B800,[4]Complaints!$A$4:$AJ$39,15,)</f>
        <v>0</v>
      </c>
      <c r="H818" s="48">
        <f>VLOOKUP($B800,[5]Complaints!$A$4:$AJ$39,15,)</f>
        <v>0</v>
      </c>
      <c r="I818" s="48">
        <f>VLOOKUP($B800,[6]Complaints!$A$4:$AJ$39,15,)</f>
        <v>0</v>
      </c>
      <c r="J818" s="48">
        <f>VLOOKUP($B800,[7]Complaints!$A$4:$AJ$39,15,)</f>
        <v>0</v>
      </c>
      <c r="K818" s="48">
        <f>VLOOKUP($B800,[8]Complaints!$A$4:$AJ$39,15,)</f>
        <v>0</v>
      </c>
      <c r="L818" s="48">
        <f>VLOOKUP($B800,[9]Complaints!$A$4:$AJ$39,15,)</f>
        <v>0</v>
      </c>
      <c r="M818" s="48">
        <f>VLOOKUP($B800,[10]Complaints!$A$4:$AJ$39,15,)</f>
        <v>0</v>
      </c>
      <c r="N818" s="48">
        <f>VLOOKUP($B800,[11]Complaints!$A$4:$AJ$39,15,)</f>
        <v>0</v>
      </c>
      <c r="O818" s="49">
        <f>VLOOKUP($B800,[12]Complaints!$A$4:$AJ$39,15,)</f>
        <v>0</v>
      </c>
      <c r="P818" s="55">
        <f t="shared" si="215"/>
        <v>1</v>
      </c>
      <c r="Q818" s="50">
        <f>IF(P818=0,"",P818/$P802)</f>
        <v>7.1428571428571425E-2</v>
      </c>
      <c r="R818" s="18"/>
    </row>
    <row r="819" spans="1:19" ht="15.75" customHeight="1" x14ac:dyDescent="0.2">
      <c r="B819" s="169"/>
      <c r="C819" s="31" t="s">
        <v>79</v>
      </c>
      <c r="D819" s="47">
        <f>VLOOKUP($B800,[1]Complaints!$A$4:$AJ$39,16,)</f>
        <v>0</v>
      </c>
      <c r="E819" s="48">
        <f>VLOOKUP($B800,[2]Complaints!$A$4:$AJ$39,16,)</f>
        <v>0</v>
      </c>
      <c r="F819" s="48">
        <f>VLOOKUP($B800,[3]Complaints!$A$4:$AJ$39,16,)</f>
        <v>0</v>
      </c>
      <c r="G819" s="48">
        <f>VLOOKUP($B800,[4]Complaints!$A$4:$AJ$39,16,)</f>
        <v>0</v>
      </c>
      <c r="H819" s="48">
        <f>VLOOKUP($B800,[5]Complaints!$A$4:$AJ$39,16,)</f>
        <v>0</v>
      </c>
      <c r="I819" s="48">
        <f>VLOOKUP($B800,[6]Complaints!$A$4:$AJ$39,16,)</f>
        <v>0</v>
      </c>
      <c r="J819" s="48">
        <f>VLOOKUP($B800,[7]Complaints!$A$4:$AJ$39,16,)</f>
        <v>0</v>
      </c>
      <c r="K819" s="48">
        <f>VLOOKUP($B800,[8]Complaints!$A$4:$AJ$39,16,)</f>
        <v>0</v>
      </c>
      <c r="L819" s="48">
        <f>VLOOKUP($B800,[9]Complaints!$A$4:$AJ$39,16,)</f>
        <v>0</v>
      </c>
      <c r="M819" s="48">
        <f>VLOOKUP($B800,[10]Complaints!$A$4:$AJ$39,16,)</f>
        <v>0</v>
      </c>
      <c r="N819" s="48">
        <f>VLOOKUP($B800,[11]Complaints!$A$4:$AJ$39,16,)</f>
        <v>0</v>
      </c>
      <c r="O819" s="49">
        <f>VLOOKUP($B800,[12]Complaints!$A$4:$AJ$39,16,)</f>
        <v>0</v>
      </c>
      <c r="P819" s="55">
        <f t="shared" si="215"/>
        <v>0</v>
      </c>
      <c r="Q819" s="50" t="str">
        <f>IF(P819=0,"",P819/$P802)</f>
        <v/>
      </c>
      <c r="R819" s="18"/>
    </row>
    <row r="820" spans="1:19" ht="15.75" customHeight="1" x14ac:dyDescent="0.2">
      <c r="B820" s="169"/>
      <c r="C820" s="31" t="s">
        <v>80</v>
      </c>
      <c r="D820" s="47">
        <f>VLOOKUP($B800,[1]Complaints!$A$4:$AJ$39,17,)</f>
        <v>0</v>
      </c>
      <c r="E820" s="48">
        <f>VLOOKUP($B800,[2]Complaints!$A$4:$AJ$39,17,)</f>
        <v>0</v>
      </c>
      <c r="F820" s="48">
        <f>VLOOKUP($B800,[3]Complaints!$A$4:$AJ$39,17,)</f>
        <v>0</v>
      </c>
      <c r="G820" s="48">
        <f>VLOOKUP($B800,[4]Complaints!$A$4:$AJ$39,17,)</f>
        <v>0</v>
      </c>
      <c r="H820" s="48">
        <f>VLOOKUP($B800,[5]Complaints!$A$4:$AJ$39,17,)</f>
        <v>0</v>
      </c>
      <c r="I820" s="48">
        <f>VLOOKUP($B800,[6]Complaints!$A$4:$AJ$39,17,)</f>
        <v>0</v>
      </c>
      <c r="J820" s="48">
        <f>VLOOKUP($B800,[7]Complaints!$A$4:$AJ$39,17,)</f>
        <v>0</v>
      </c>
      <c r="K820" s="48">
        <f>VLOOKUP($B800,[8]Complaints!$A$4:$AJ$39,17,)</f>
        <v>0</v>
      </c>
      <c r="L820" s="48">
        <f>VLOOKUP($B800,[9]Complaints!$A$4:$AJ$39,17,)</f>
        <v>0</v>
      </c>
      <c r="M820" s="48">
        <f>VLOOKUP($B800,[10]Complaints!$A$4:$AJ$39,17,)</f>
        <v>0</v>
      </c>
      <c r="N820" s="48">
        <f>VLOOKUP($B800,[11]Complaints!$A$4:$AJ$39,17,)</f>
        <v>0</v>
      </c>
      <c r="O820" s="49">
        <f>VLOOKUP($B800,[12]Complaints!$A$4:$AJ$39,17,)</f>
        <v>0</v>
      </c>
      <c r="P820" s="55">
        <f t="shared" si="215"/>
        <v>0</v>
      </c>
      <c r="Q820" s="50" t="str">
        <f>IF(P820=0,"",P820/$P802)</f>
        <v/>
      </c>
      <c r="R820" s="18"/>
    </row>
    <row r="821" spans="1:19" ht="15.75" customHeight="1" x14ac:dyDescent="0.2">
      <c r="B821" s="169"/>
      <c r="C821" s="31" t="s">
        <v>81</v>
      </c>
      <c r="D821" s="47">
        <f>VLOOKUP($B800,[1]Complaints!$A$4:$AJ$39,18,)</f>
        <v>0</v>
      </c>
      <c r="E821" s="48">
        <f>VLOOKUP($B800,[2]Complaints!$A$4:$AJ$39,18,)</f>
        <v>0</v>
      </c>
      <c r="F821" s="48">
        <f>VLOOKUP($B800,[3]Complaints!$A$4:$AJ$39,18,)</f>
        <v>0</v>
      </c>
      <c r="G821" s="48">
        <f>VLOOKUP($B800,[4]Complaints!$A$4:$AJ$39,18,)</f>
        <v>0</v>
      </c>
      <c r="H821" s="48">
        <f>VLOOKUP($B800,[5]Complaints!$A$4:$AJ$39,18,)</f>
        <v>0</v>
      </c>
      <c r="I821" s="48">
        <f>VLOOKUP($B800,[6]Complaints!$A$4:$AJ$39,18,)</f>
        <v>0</v>
      </c>
      <c r="J821" s="48">
        <f>VLOOKUP($B800,[7]Complaints!$A$4:$AJ$39,18,)</f>
        <v>0</v>
      </c>
      <c r="K821" s="48">
        <f>VLOOKUP($B800,[8]Complaints!$A$4:$AJ$39,18,)</f>
        <v>0</v>
      </c>
      <c r="L821" s="48">
        <f>VLOOKUP($B800,[9]Complaints!$A$4:$AJ$39,18,)</f>
        <v>0</v>
      </c>
      <c r="M821" s="48">
        <f>VLOOKUP($B800,[10]Complaints!$A$4:$AJ$39,18,)</f>
        <v>0</v>
      </c>
      <c r="N821" s="48">
        <f>VLOOKUP($B800,[11]Complaints!$A$4:$AJ$39,18,)</f>
        <v>0</v>
      </c>
      <c r="O821" s="49">
        <f>VLOOKUP($B800,[12]Complaints!$A$4:$AJ$39,18,)</f>
        <v>0</v>
      </c>
      <c r="P821" s="55">
        <f t="shared" si="215"/>
        <v>0</v>
      </c>
      <c r="Q821" s="50" t="str">
        <f>IF(P821=0,"",P821/$P802)</f>
        <v/>
      </c>
      <c r="R821" s="18"/>
    </row>
    <row r="822" spans="1:19" ht="15.75" customHeight="1" x14ac:dyDescent="0.2">
      <c r="B822" s="169"/>
      <c r="C822" s="31" t="s">
        <v>82</v>
      </c>
      <c r="D822" s="47">
        <f>VLOOKUP($B800,[1]Complaints!$A$4:$AJ$39,19,)</f>
        <v>0</v>
      </c>
      <c r="E822" s="48">
        <f>VLOOKUP($B800,[2]Complaints!$A$4:$AJ$39,19,)</f>
        <v>0</v>
      </c>
      <c r="F822" s="48">
        <f>VLOOKUP($B800,[3]Complaints!$A$4:$AJ$39,19,)</f>
        <v>0</v>
      </c>
      <c r="G822" s="48">
        <f>VLOOKUP($B800,[4]Complaints!$A$4:$AJ$39,19,)</f>
        <v>0</v>
      </c>
      <c r="H822" s="48">
        <f>VLOOKUP($B800,[5]Complaints!$A$4:$AJ$39,19,)</f>
        <v>0</v>
      </c>
      <c r="I822" s="48">
        <f>VLOOKUP($B800,[6]Complaints!$A$4:$AJ$39,19,)</f>
        <v>0</v>
      </c>
      <c r="J822" s="48">
        <f>VLOOKUP($B800,[7]Complaints!$A$4:$AJ$39,19,)</f>
        <v>0</v>
      </c>
      <c r="K822" s="48">
        <f>VLOOKUP($B800,[8]Complaints!$A$4:$AJ$39,19,)</f>
        <v>0</v>
      </c>
      <c r="L822" s="48">
        <f>VLOOKUP($B800,[9]Complaints!$A$4:$AJ$39,19,)</f>
        <v>0</v>
      </c>
      <c r="M822" s="48">
        <f>VLOOKUP($B800,[10]Complaints!$A$4:$AJ$39,19,)</f>
        <v>0</v>
      </c>
      <c r="N822" s="48">
        <f>VLOOKUP($B800,[11]Complaints!$A$4:$AJ$39,19,)</f>
        <v>0</v>
      </c>
      <c r="O822" s="49">
        <f>VLOOKUP($B800,[12]Complaints!$A$4:$AJ$39,19,)</f>
        <v>0</v>
      </c>
      <c r="P822" s="55">
        <f t="shared" si="215"/>
        <v>0</v>
      </c>
      <c r="Q822" s="50" t="str">
        <f>IF(P822=0,"",P822/$P802)</f>
        <v/>
      </c>
      <c r="R822" s="18"/>
    </row>
    <row r="823" spans="1:19" ht="15.75" customHeight="1" thickBot="1" x14ac:dyDescent="0.25">
      <c r="B823" s="170"/>
      <c r="C823" s="31" t="s">
        <v>83</v>
      </c>
      <c r="D823" s="47">
        <f>VLOOKUP($B800,[1]Complaints!$A$4:$AJ$39,20,)</f>
        <v>0</v>
      </c>
      <c r="E823" s="48">
        <f>VLOOKUP($B800,[2]Complaints!$A$4:$AJ$39,20,)</f>
        <v>0</v>
      </c>
      <c r="F823" s="48">
        <f>VLOOKUP($B800,[3]Complaints!$A$4:$AJ$39,20,)</f>
        <v>0</v>
      </c>
      <c r="G823" s="48">
        <f>VLOOKUP($B800,[4]Complaints!$A$4:$AJ$39,20,)</f>
        <v>0</v>
      </c>
      <c r="H823" s="48">
        <f>VLOOKUP($B800,[5]Complaints!$A$4:$AJ$39,20,)</f>
        <v>0</v>
      </c>
      <c r="I823" s="48">
        <f>VLOOKUP($B800,[6]Complaints!$A$4:$AJ$39,20,)</f>
        <v>0</v>
      </c>
      <c r="J823" s="48">
        <f>VLOOKUP($B800,[7]Complaints!$A$4:$AJ$39,20,)</f>
        <v>0</v>
      </c>
      <c r="K823" s="48">
        <f>VLOOKUP($B800,[8]Complaints!$A$4:$AJ$39,20,)</f>
        <v>0</v>
      </c>
      <c r="L823" s="48">
        <f>VLOOKUP($B800,[9]Complaints!$A$4:$AJ$39,20,)</f>
        <v>0</v>
      </c>
      <c r="M823" s="48">
        <f>VLOOKUP($B800,[10]Complaints!$A$4:$AJ$39,20,)</f>
        <v>0</v>
      </c>
      <c r="N823" s="48">
        <f>VLOOKUP($B800,[11]Complaints!$A$4:$AJ$39,20,)</f>
        <v>0</v>
      </c>
      <c r="O823" s="49">
        <f>VLOOKUP($B800,[12]Complaints!$A$4:$AJ$39,20,)</f>
        <v>0</v>
      </c>
      <c r="P823" s="55">
        <f t="shared" si="215"/>
        <v>0</v>
      </c>
      <c r="Q823" s="50" t="str">
        <f>IF(P823=0,"",P823/$P802)</f>
        <v/>
      </c>
      <c r="R823" s="18"/>
    </row>
    <row r="824" spans="1:19" ht="15.75" customHeight="1" x14ac:dyDescent="0.2">
      <c r="B824" s="144" t="s">
        <v>90</v>
      </c>
      <c r="C824" s="37" t="s">
        <v>118</v>
      </c>
      <c r="D824" s="62">
        <f>VLOOKUP($B800,[1]Complaints!$A$4:$AJ$39,21,)</f>
        <v>0</v>
      </c>
      <c r="E824" s="63">
        <f>VLOOKUP($B800,[2]Complaints!$A$4:$AJ$39,21,)</f>
        <v>0</v>
      </c>
      <c r="F824" s="63">
        <f>VLOOKUP($B800,[3]Complaints!$A$4:$AJ$39,21,)</f>
        <v>0</v>
      </c>
      <c r="G824" s="63">
        <f>VLOOKUP($B800,[4]Complaints!$A$4:$AJ$39,21,)</f>
        <v>1</v>
      </c>
      <c r="H824" s="63">
        <f>VLOOKUP($B800,[5]Complaints!$A$4:$AJ$39,21,)</f>
        <v>0</v>
      </c>
      <c r="I824" s="63">
        <f>VLOOKUP($B800,[6]Complaints!$A$4:$AJ$39,21,)</f>
        <v>1</v>
      </c>
      <c r="J824" s="63">
        <f>VLOOKUP($B800,[7]Complaints!$A$4:$AJ$39,21,)</f>
        <v>2</v>
      </c>
      <c r="K824" s="63">
        <f>VLOOKUP($B800,[8]Complaints!$A$4:$AJ$39,21,)</f>
        <v>2</v>
      </c>
      <c r="L824" s="63">
        <f>VLOOKUP($B800,[9]Complaints!$A$4:$AJ$39,21,)</f>
        <v>0</v>
      </c>
      <c r="M824" s="63">
        <f>VLOOKUP($B800,[10]Complaints!$A$4:$AJ$39,21,)</f>
        <v>2</v>
      </c>
      <c r="N824" s="63">
        <f>VLOOKUP($B800,[11]Complaints!$A$4:$AJ$39,21,)</f>
        <v>0</v>
      </c>
      <c r="O824" s="64">
        <f>VLOOKUP($B800,[12]Complaints!$A$4:$AJ$39,21,)</f>
        <v>0</v>
      </c>
      <c r="P824" s="65">
        <f>SUM(D824:O824)</f>
        <v>8</v>
      </c>
      <c r="Q824" s="46">
        <f>IF(P824=0,"",P824/$P808)</f>
        <v>0.88888888888888884</v>
      </c>
      <c r="R824" s="18"/>
    </row>
    <row r="825" spans="1:19" ht="15.75" customHeight="1" x14ac:dyDescent="0.2">
      <c r="B825" s="145"/>
      <c r="C825" s="38" t="s">
        <v>77</v>
      </c>
      <c r="D825" s="66">
        <f>VLOOKUP($B800,[1]Complaints!$A$4:$AJ$39,22,)</f>
        <v>0</v>
      </c>
      <c r="E825" s="67">
        <f>VLOOKUP($B800,[2]Complaints!$A$4:$AJ$39,22,)</f>
        <v>0</v>
      </c>
      <c r="F825" s="67">
        <f>VLOOKUP($B800,[3]Complaints!$A$4:$AJ$39,22,)</f>
        <v>0</v>
      </c>
      <c r="G825" s="67">
        <f>VLOOKUP($B800,[4]Complaints!$A$4:$AJ$39,22,)</f>
        <v>0</v>
      </c>
      <c r="H825" s="67">
        <f>VLOOKUP($B800,[5]Complaints!$A$4:$AJ$39,22,)</f>
        <v>0</v>
      </c>
      <c r="I825" s="67">
        <f>VLOOKUP($B800,[6]Complaints!$A$4:$AJ$39,22,)</f>
        <v>0</v>
      </c>
      <c r="J825" s="67">
        <f>VLOOKUP($B800,[7]Complaints!$A$4:$AJ$39,22,)</f>
        <v>0</v>
      </c>
      <c r="K825" s="67">
        <f>VLOOKUP($B800,[8]Complaints!$A$4:$AJ$39,22,)</f>
        <v>0</v>
      </c>
      <c r="L825" s="67">
        <f>VLOOKUP($B800,[9]Complaints!$A$4:$AJ$39,22,)</f>
        <v>0</v>
      </c>
      <c r="M825" s="67">
        <f>VLOOKUP($B800,[10]Complaints!$A$4:$AJ$39,22,)</f>
        <v>0</v>
      </c>
      <c r="N825" s="67">
        <f>VLOOKUP($B800,[11]Complaints!$A$4:$AJ$39,22,)</f>
        <v>0</v>
      </c>
      <c r="O825" s="68">
        <f>VLOOKUP($B800,[12]Complaints!$A$4:$AJ$39,22,)</f>
        <v>0</v>
      </c>
      <c r="P825" s="69">
        <f t="shared" ref="P825:P839" si="216">SUM(D825:O825)</f>
        <v>0</v>
      </c>
      <c r="Q825" s="70" t="str">
        <f>IF(P825=0,"",P825/$P808)</f>
        <v/>
      </c>
      <c r="R825" s="18"/>
    </row>
    <row r="826" spans="1:19" ht="15.75" customHeight="1" x14ac:dyDescent="0.2">
      <c r="B826" s="145"/>
      <c r="C826" s="38" t="s">
        <v>108</v>
      </c>
      <c r="D826" s="66">
        <f>VLOOKUP($B800,[1]Complaints!$A$4:$AJ$39,23,)</f>
        <v>0</v>
      </c>
      <c r="E826" s="67">
        <f>VLOOKUP($B800,[2]Complaints!$A$4:$AJ$39,23,)</f>
        <v>0</v>
      </c>
      <c r="F826" s="67">
        <f>VLOOKUP($B800,[3]Complaints!$A$4:$AJ$39,23,)</f>
        <v>0</v>
      </c>
      <c r="G826" s="67">
        <f>VLOOKUP($B800,[4]Complaints!$A$4:$AJ$39,23,)</f>
        <v>1</v>
      </c>
      <c r="H826" s="67">
        <f>VLOOKUP($B800,[5]Complaints!$A$4:$AJ$39,23,)</f>
        <v>0</v>
      </c>
      <c r="I826" s="67">
        <f>VLOOKUP($B800,[6]Complaints!$A$4:$AJ$39,23,)</f>
        <v>1</v>
      </c>
      <c r="J826" s="67">
        <f>VLOOKUP($B800,[7]Complaints!$A$4:$AJ$39,23,)</f>
        <v>2</v>
      </c>
      <c r="K826" s="67">
        <f>VLOOKUP($B800,[8]Complaints!$A$4:$AJ$39,23,)</f>
        <v>2</v>
      </c>
      <c r="L826" s="67">
        <f>VLOOKUP($B800,[9]Complaints!$A$4:$AJ$39,23,)</f>
        <v>0</v>
      </c>
      <c r="M826" s="67">
        <f>VLOOKUP($B800,[10]Complaints!$A$4:$AJ$39,23,)</f>
        <v>0</v>
      </c>
      <c r="N826" s="67">
        <f>VLOOKUP($B800,[11]Complaints!$A$4:$AJ$39,23,)</f>
        <v>0</v>
      </c>
      <c r="O826" s="68">
        <f>VLOOKUP($B800,[12]Complaints!$A$4:$AJ$39,23,)</f>
        <v>0</v>
      </c>
      <c r="P826" s="69">
        <f t="shared" si="216"/>
        <v>6</v>
      </c>
      <c r="Q826" s="70">
        <f>IF(P826=0,"",P826/$P808)</f>
        <v>0.66666666666666663</v>
      </c>
      <c r="R826" s="18"/>
    </row>
    <row r="827" spans="1:19" ht="15.75" customHeight="1" x14ac:dyDescent="0.2">
      <c r="B827" s="145"/>
      <c r="C827" s="38" t="s">
        <v>88</v>
      </c>
      <c r="D827" s="66">
        <f>VLOOKUP($B800,[1]Complaints!$A$4:$AJ$39,24,)</f>
        <v>0</v>
      </c>
      <c r="E827" s="67">
        <f>VLOOKUP($B800,[2]Complaints!$A$4:$AJ$39,24,)</f>
        <v>0</v>
      </c>
      <c r="F827" s="67">
        <f>VLOOKUP($B800,[3]Complaints!$A$4:$AJ$39,24,)</f>
        <v>0</v>
      </c>
      <c r="G827" s="67">
        <f>VLOOKUP($B800,[4]Complaints!$A$4:$AJ$39,24,)</f>
        <v>0</v>
      </c>
      <c r="H827" s="67">
        <f>VLOOKUP($B800,[5]Complaints!$A$4:$AJ$39,24,)</f>
        <v>0</v>
      </c>
      <c r="I827" s="67">
        <f>VLOOKUP($B800,[6]Complaints!$A$4:$AJ$39,24,)</f>
        <v>0</v>
      </c>
      <c r="J827" s="67">
        <f>VLOOKUP($B800,[7]Complaints!$A$4:$AJ$39,24,)</f>
        <v>0</v>
      </c>
      <c r="K827" s="67">
        <f>VLOOKUP($B800,[8]Complaints!$A$4:$AJ$39,24,)</f>
        <v>0</v>
      </c>
      <c r="L827" s="67">
        <f>VLOOKUP($B800,[9]Complaints!$A$4:$AJ$39,24,)</f>
        <v>0</v>
      </c>
      <c r="M827" s="67">
        <f>VLOOKUP($B800,[10]Complaints!$A$4:$AJ$39,24,)</f>
        <v>0</v>
      </c>
      <c r="N827" s="67">
        <f>VLOOKUP($B800,[11]Complaints!$A$4:$AJ$39,24,)</f>
        <v>0</v>
      </c>
      <c r="O827" s="68">
        <f>VLOOKUP($B800,[12]Complaints!$A$4:$AJ$39,24,)</f>
        <v>0</v>
      </c>
      <c r="P827" s="69">
        <f t="shared" si="216"/>
        <v>0</v>
      </c>
      <c r="Q827" s="70" t="str">
        <f>IF(P827=0,"",P827/$P808)</f>
        <v/>
      </c>
      <c r="R827" s="18"/>
    </row>
    <row r="828" spans="1:19" ht="15.75" customHeight="1" x14ac:dyDescent="0.2">
      <c r="B828" s="145"/>
      <c r="C828" s="38" t="s">
        <v>109</v>
      </c>
      <c r="D828" s="66">
        <f>VLOOKUP($B800,[1]Complaints!$A$4:$AJ$39,25,)</f>
        <v>0</v>
      </c>
      <c r="E828" s="67">
        <f>VLOOKUP($B800,[2]Complaints!$A$4:$AJ$39,25,)</f>
        <v>0</v>
      </c>
      <c r="F828" s="67">
        <f>VLOOKUP($B800,[3]Complaints!$A$4:$AJ$39,25,)</f>
        <v>0</v>
      </c>
      <c r="G828" s="67">
        <f>VLOOKUP($B800,[4]Complaints!$A$4:$AJ$39,25,)</f>
        <v>0</v>
      </c>
      <c r="H828" s="67">
        <f>VLOOKUP($B800,[5]Complaints!$A$4:$AJ$39,25,)</f>
        <v>0</v>
      </c>
      <c r="I828" s="67">
        <f>VLOOKUP($B800,[6]Complaints!$A$4:$AJ$39,25,)</f>
        <v>0</v>
      </c>
      <c r="J828" s="67">
        <f>VLOOKUP($B800,[7]Complaints!$A$4:$AJ$39,25,)</f>
        <v>0</v>
      </c>
      <c r="K828" s="67">
        <f>VLOOKUP($B800,[8]Complaints!$A$4:$AJ$39,25,)</f>
        <v>0</v>
      </c>
      <c r="L828" s="67">
        <f>VLOOKUP($B800,[9]Complaints!$A$4:$AJ$39,25,)</f>
        <v>0</v>
      </c>
      <c r="M828" s="67">
        <f>VLOOKUP($B800,[10]Complaints!$A$4:$AJ$39,25,)</f>
        <v>1</v>
      </c>
      <c r="N828" s="67">
        <f>VLOOKUP($B800,[11]Complaints!$A$4:$AJ$39,25,)</f>
        <v>0</v>
      </c>
      <c r="O828" s="68">
        <f>VLOOKUP($B800,[12]Complaints!$A$4:$AJ$39,25,)</f>
        <v>0</v>
      </c>
      <c r="P828" s="69">
        <f t="shared" si="216"/>
        <v>1</v>
      </c>
      <c r="Q828" s="70">
        <f>IF(P828=0,"",P828/$P808)</f>
        <v>0.1111111111111111</v>
      </c>
      <c r="R828" s="18"/>
    </row>
    <row r="829" spans="1:19" ht="15.75" customHeight="1" x14ac:dyDescent="0.2">
      <c r="A829" s="21"/>
      <c r="B829" s="145"/>
      <c r="C829" s="38" t="s">
        <v>110</v>
      </c>
      <c r="D829" s="66">
        <f>VLOOKUP($B800,[1]Complaints!$A$4:$AJ$39,26,)</f>
        <v>0</v>
      </c>
      <c r="E829" s="67">
        <f>VLOOKUP($B800,[2]Complaints!$A$4:$AJ$39,26,)</f>
        <v>0</v>
      </c>
      <c r="F829" s="67">
        <f>VLOOKUP($B800,[3]Complaints!$A$4:$AJ$39,26,)</f>
        <v>0</v>
      </c>
      <c r="G829" s="67">
        <f>VLOOKUP($B800,[4]Complaints!$A$4:$AJ$39,26,)</f>
        <v>0</v>
      </c>
      <c r="H829" s="67">
        <f>VLOOKUP($B800,[5]Complaints!$A$4:$AJ$39,26,)</f>
        <v>0</v>
      </c>
      <c r="I829" s="67">
        <f>VLOOKUP($B800,[6]Complaints!$A$4:$AJ$39,26,)</f>
        <v>0</v>
      </c>
      <c r="J829" s="67">
        <f>VLOOKUP($B800,[7]Complaints!$A$4:$AJ$39,26,)</f>
        <v>0</v>
      </c>
      <c r="K829" s="67">
        <f>VLOOKUP($B800,[8]Complaints!$A$4:$AJ$39,26,)</f>
        <v>0</v>
      </c>
      <c r="L829" s="67">
        <f>VLOOKUP($B800,[9]Complaints!$A$4:$AJ$39,26,)</f>
        <v>0</v>
      </c>
      <c r="M829" s="67">
        <f>VLOOKUP($B800,[10]Complaints!$A$4:$AJ$39,26,)</f>
        <v>1</v>
      </c>
      <c r="N829" s="67">
        <f>VLOOKUP($B800,[11]Complaints!$A$4:$AJ$39,26,)</f>
        <v>0</v>
      </c>
      <c r="O829" s="68">
        <f>VLOOKUP($B800,[12]Complaints!$A$4:$AJ$39,26,)</f>
        <v>0</v>
      </c>
      <c r="P829" s="69">
        <f t="shared" si="216"/>
        <v>1</v>
      </c>
      <c r="Q829" s="70">
        <f>IF(P829=0,"",P829/$P808)</f>
        <v>0.1111111111111111</v>
      </c>
      <c r="R829" s="18"/>
    </row>
    <row r="830" spans="1:19" s="21" customFormat="1" ht="15.75" customHeight="1" x14ac:dyDescent="0.2">
      <c r="B830" s="145"/>
      <c r="C830" s="39" t="s">
        <v>107</v>
      </c>
      <c r="D830" s="71">
        <f>VLOOKUP($B800,[1]Complaints!$A$4:$AJ$39,27,)</f>
        <v>0</v>
      </c>
      <c r="E830" s="72">
        <f>VLOOKUP($B800,[2]Complaints!$A$4:$AJ$39,27,)</f>
        <v>0</v>
      </c>
      <c r="F830" s="72">
        <f>VLOOKUP($B800,[3]Complaints!$A$4:$AJ$39,27,)</f>
        <v>0</v>
      </c>
      <c r="G830" s="72">
        <f>VLOOKUP($B800,[4]Complaints!$A$4:$AJ$39,27,)</f>
        <v>0</v>
      </c>
      <c r="H830" s="72">
        <f>VLOOKUP($B800,[5]Complaints!$A$4:$AJ$39,27,)</f>
        <v>0</v>
      </c>
      <c r="I830" s="72">
        <f>VLOOKUP($B800,[6]Complaints!$A$4:$AJ$39,27,)</f>
        <v>0</v>
      </c>
      <c r="J830" s="72">
        <f>VLOOKUP($B800,[7]Complaints!$A$4:$AJ$39,27,)</f>
        <v>0</v>
      </c>
      <c r="K830" s="72">
        <f>VLOOKUP($B800,[8]Complaints!$A$4:$AJ$39,27,)</f>
        <v>0</v>
      </c>
      <c r="L830" s="72">
        <f>VLOOKUP($B800,[9]Complaints!$A$4:$AJ$39,27,)</f>
        <v>0</v>
      </c>
      <c r="M830" s="72">
        <f>VLOOKUP($B800,[10]Complaints!$A$4:$AJ$39,27,)</f>
        <v>0</v>
      </c>
      <c r="N830" s="72">
        <f>VLOOKUP($B800,[11]Complaints!$A$4:$AJ$39,27,)</f>
        <v>0</v>
      </c>
      <c r="O830" s="73">
        <f>VLOOKUP($B800,[12]Complaints!$A$4:$AJ$39,27,)</f>
        <v>0</v>
      </c>
      <c r="P830" s="69">
        <f t="shared" si="216"/>
        <v>0</v>
      </c>
      <c r="Q830" s="70" t="str">
        <f>IF(P830=0,"",P830/$P808)</f>
        <v/>
      </c>
      <c r="S830" s="18"/>
    </row>
    <row r="831" spans="1:19" ht="15.75" customHeight="1" x14ac:dyDescent="0.2">
      <c r="B831" s="145"/>
      <c r="C831" s="39" t="s">
        <v>87</v>
      </c>
      <c r="D831" s="71">
        <f>VLOOKUP($B800,[1]Complaints!$A$4:$AJ$39,28,)</f>
        <v>0</v>
      </c>
      <c r="E831" s="72">
        <f>VLOOKUP($B800,[2]Complaints!$A$4:$AJ$39,28,)</f>
        <v>0</v>
      </c>
      <c r="F831" s="72">
        <f>VLOOKUP($B800,[3]Complaints!$A$4:$AJ$39,28,)</f>
        <v>0</v>
      </c>
      <c r="G831" s="72">
        <f>VLOOKUP($B800,[4]Complaints!$A$4:$AJ$39,28,)</f>
        <v>0</v>
      </c>
      <c r="H831" s="72">
        <f>VLOOKUP($B800,[5]Complaints!$A$4:$AJ$39,28,)</f>
        <v>0</v>
      </c>
      <c r="I831" s="72">
        <f>VLOOKUP($B800,[6]Complaints!$A$4:$AJ$39,28,)</f>
        <v>0</v>
      </c>
      <c r="J831" s="72">
        <f>VLOOKUP($B800,[7]Complaints!$A$4:$AJ$39,28,)</f>
        <v>0</v>
      </c>
      <c r="K831" s="72">
        <f>VLOOKUP($B800,[8]Complaints!$A$4:$AJ$39,28,)</f>
        <v>0</v>
      </c>
      <c r="L831" s="72">
        <f>VLOOKUP($B800,[9]Complaints!$A$4:$AJ$39,28,)</f>
        <v>0</v>
      </c>
      <c r="M831" s="72">
        <f>VLOOKUP($B800,[10]Complaints!$A$4:$AJ$39,28,)</f>
        <v>0</v>
      </c>
      <c r="N831" s="72">
        <f>VLOOKUP($B800,[11]Complaints!$A$4:$AJ$39,28,)</f>
        <v>0</v>
      </c>
      <c r="O831" s="73">
        <f>VLOOKUP($B800,[12]Complaints!$A$4:$AJ$39,28,)</f>
        <v>0</v>
      </c>
      <c r="P831" s="69">
        <f t="shared" si="216"/>
        <v>0</v>
      </c>
      <c r="Q831" s="70" t="str">
        <f>IF(P831=0,"",P831/$P808)</f>
        <v/>
      </c>
      <c r="R831" s="18"/>
    </row>
    <row r="832" spans="1:19" ht="15.75" customHeight="1" x14ac:dyDescent="0.2">
      <c r="B832" s="145"/>
      <c r="C832" s="38" t="s">
        <v>111</v>
      </c>
      <c r="D832" s="66">
        <f>VLOOKUP($B800,[1]Complaints!$A$4:$AJ$39,29,)</f>
        <v>0</v>
      </c>
      <c r="E832" s="67">
        <f>VLOOKUP($B800,[2]Complaints!$A$4:$AJ$39,29,)</f>
        <v>0</v>
      </c>
      <c r="F832" s="67">
        <f>VLOOKUP($B800,[3]Complaints!$A$4:$AJ$39,29,)</f>
        <v>0</v>
      </c>
      <c r="G832" s="67">
        <f>VLOOKUP($B800,[4]Complaints!$A$4:$AJ$39,29,)</f>
        <v>0</v>
      </c>
      <c r="H832" s="67">
        <f>VLOOKUP($B800,[5]Complaints!$A$4:$AJ$39,29,)</f>
        <v>0</v>
      </c>
      <c r="I832" s="67">
        <f>VLOOKUP($B800,[6]Complaints!$A$4:$AJ$39,29,)</f>
        <v>0</v>
      </c>
      <c r="J832" s="67">
        <f>VLOOKUP($B800,[7]Complaints!$A$4:$AJ$39,29,)</f>
        <v>0</v>
      </c>
      <c r="K832" s="67">
        <f>VLOOKUP($B800,[8]Complaints!$A$4:$AJ$39,29,)</f>
        <v>0</v>
      </c>
      <c r="L832" s="67">
        <f>VLOOKUP($B800,[9]Complaints!$A$4:$AJ$39,29,)</f>
        <v>0</v>
      </c>
      <c r="M832" s="67">
        <f>VLOOKUP($B800,[10]Complaints!$A$4:$AJ$39,29,)</f>
        <v>0</v>
      </c>
      <c r="N832" s="67">
        <f>VLOOKUP($B800,[11]Complaints!$A$4:$AJ$39,29,)</f>
        <v>0</v>
      </c>
      <c r="O832" s="68">
        <f>VLOOKUP($B800,[12]Complaints!$A$4:$AJ$39,29,)</f>
        <v>0</v>
      </c>
      <c r="P832" s="69">
        <f t="shared" si="216"/>
        <v>0</v>
      </c>
      <c r="Q832" s="70" t="str">
        <f>IF(P832=0,"",P832/$P808)</f>
        <v/>
      </c>
      <c r="R832" s="18"/>
    </row>
    <row r="833" spans="2:19" ht="15.75" customHeight="1" x14ac:dyDescent="0.2">
      <c r="B833" s="145"/>
      <c r="C833" s="38" t="s">
        <v>112</v>
      </c>
      <c r="D833" s="66">
        <f>VLOOKUP($B800,[1]Complaints!$A$4:$AJ$39,30,)</f>
        <v>0</v>
      </c>
      <c r="E833" s="67">
        <f>VLOOKUP($B800,[2]Complaints!$A$4:$AJ$39,30,)</f>
        <v>0</v>
      </c>
      <c r="F833" s="67">
        <f>VLOOKUP($B800,[3]Complaints!$A$4:$AJ$39,30,)</f>
        <v>0</v>
      </c>
      <c r="G833" s="67">
        <f>VLOOKUP($B800,[4]Complaints!$A$4:$AJ$39,30,)</f>
        <v>0</v>
      </c>
      <c r="H833" s="67">
        <f>VLOOKUP($B800,[5]Complaints!$A$4:$AJ$39,30,)</f>
        <v>0</v>
      </c>
      <c r="I833" s="67">
        <f>VLOOKUP($B800,[6]Complaints!$A$4:$AJ$39,30,)</f>
        <v>0</v>
      </c>
      <c r="J833" s="67">
        <f>VLOOKUP($B800,[7]Complaints!$A$4:$AJ$39,30,)</f>
        <v>0</v>
      </c>
      <c r="K833" s="67">
        <f>VLOOKUP($B800,[8]Complaints!$A$4:$AJ$39,30,)</f>
        <v>0</v>
      </c>
      <c r="L833" s="67">
        <f>VLOOKUP($B800,[9]Complaints!$A$4:$AJ$39,30,)</f>
        <v>0</v>
      </c>
      <c r="M833" s="67">
        <f>VLOOKUP($B800,[10]Complaints!$A$4:$AJ$39,30,)</f>
        <v>0</v>
      </c>
      <c r="N833" s="67">
        <f>VLOOKUP($B800,[11]Complaints!$A$4:$AJ$39,30,)</f>
        <v>0</v>
      </c>
      <c r="O833" s="68">
        <f>VLOOKUP($B800,[12]Complaints!$A$4:$AJ$39,30,)</f>
        <v>0</v>
      </c>
      <c r="P833" s="69">
        <f t="shared" si="216"/>
        <v>0</v>
      </c>
      <c r="Q833" s="70" t="str">
        <f>IF(P833=0,"",P833/$P808)</f>
        <v/>
      </c>
      <c r="R833" s="18"/>
    </row>
    <row r="834" spans="2:19" ht="15.75" customHeight="1" x14ac:dyDescent="0.2">
      <c r="B834" s="146"/>
      <c r="C834" s="40" t="s">
        <v>119</v>
      </c>
      <c r="D834" s="74">
        <f>VLOOKUP($B800,[1]Complaints!$A$4:$AJ$39,31,)</f>
        <v>0</v>
      </c>
      <c r="E834" s="75">
        <f>VLOOKUP($B800,[2]Complaints!$A$4:$AJ$39,31,)</f>
        <v>0</v>
      </c>
      <c r="F834" s="75">
        <f>VLOOKUP($B800,[3]Complaints!$A$4:$AJ$39,31,)</f>
        <v>1</v>
      </c>
      <c r="G834" s="75">
        <f>VLOOKUP($B800,[4]Complaints!$A$4:$AJ$39,31,)</f>
        <v>0</v>
      </c>
      <c r="H834" s="75">
        <f>VLOOKUP($B800,[5]Complaints!$A$4:$AJ$39,31,)</f>
        <v>0</v>
      </c>
      <c r="I834" s="75">
        <f>VLOOKUP($B800,[6]Complaints!$A$4:$AJ$39,31,)</f>
        <v>0</v>
      </c>
      <c r="J834" s="75">
        <f>VLOOKUP($B800,[7]Complaints!$A$4:$AJ$39,31,)</f>
        <v>0</v>
      </c>
      <c r="K834" s="75">
        <f>VLOOKUP($B800,[8]Complaints!$A$4:$AJ$39,31,)</f>
        <v>0</v>
      </c>
      <c r="L834" s="75">
        <f>VLOOKUP($B800,[9]Complaints!$A$4:$AJ$39,31,)</f>
        <v>0</v>
      </c>
      <c r="M834" s="75">
        <f>VLOOKUP($B800,[10]Complaints!$A$4:$AJ$39,31,)</f>
        <v>0</v>
      </c>
      <c r="N834" s="75">
        <f>VLOOKUP($B800,[11]Complaints!$A$4:$AJ$39,31,)</f>
        <v>0</v>
      </c>
      <c r="O834" s="76">
        <f>VLOOKUP($B800,[12]Complaints!$A$4:$AJ$39,31,)</f>
        <v>0</v>
      </c>
      <c r="P834" s="77">
        <f t="shared" si="216"/>
        <v>1</v>
      </c>
      <c r="Q834" s="50">
        <f>IF(P834=0,"",P834/$P808)</f>
        <v>0.1111111111111111</v>
      </c>
      <c r="R834" s="18"/>
    </row>
    <row r="835" spans="2:19" ht="15.75" customHeight="1" x14ac:dyDescent="0.2">
      <c r="B835" s="146"/>
      <c r="C835" s="38" t="s">
        <v>113</v>
      </c>
      <c r="D835" s="66">
        <f>VLOOKUP($B800,[1]Complaints!$A$4:$AJ$39,32,)</f>
        <v>0</v>
      </c>
      <c r="E835" s="67">
        <f>VLOOKUP($B800,[2]Complaints!$A$4:$AJ$39,32,)</f>
        <v>0</v>
      </c>
      <c r="F835" s="67">
        <f>VLOOKUP($B800,[3]Complaints!$A$4:$AJ$39,32,)</f>
        <v>0</v>
      </c>
      <c r="G835" s="67">
        <f>VLOOKUP($B800,[4]Complaints!$A$4:$AJ$39,32,)</f>
        <v>0</v>
      </c>
      <c r="H835" s="67">
        <f>VLOOKUP($B800,[5]Complaints!$A$4:$AJ$39,32,)</f>
        <v>0</v>
      </c>
      <c r="I835" s="67">
        <f>VLOOKUP($B800,[6]Complaints!$A$4:$AJ$39,32,)</f>
        <v>0</v>
      </c>
      <c r="J835" s="67">
        <f>VLOOKUP($B800,[7]Complaints!$A$4:$AJ$39,32,)</f>
        <v>0</v>
      </c>
      <c r="K835" s="67">
        <f>VLOOKUP($B800,[8]Complaints!$A$4:$AJ$39,32,)</f>
        <v>0</v>
      </c>
      <c r="L835" s="67">
        <f>VLOOKUP($B800,[9]Complaints!$A$4:$AJ$39,32,)</f>
        <v>0</v>
      </c>
      <c r="M835" s="67">
        <f>VLOOKUP($B800,[10]Complaints!$A$4:$AJ$39,32,)</f>
        <v>0</v>
      </c>
      <c r="N835" s="67">
        <f>VLOOKUP($B800,[11]Complaints!$A$4:$AJ$39,32,)</f>
        <v>0</v>
      </c>
      <c r="O835" s="68">
        <f>VLOOKUP($B800,[12]Complaints!$A$4:$AJ$39,32,)</f>
        <v>0</v>
      </c>
      <c r="P835" s="69">
        <f t="shared" si="216"/>
        <v>0</v>
      </c>
      <c r="Q835" s="70" t="str">
        <f>IF(P835=0,"",P835/$P808)</f>
        <v/>
      </c>
      <c r="R835" s="18"/>
    </row>
    <row r="836" spans="2:19" ht="15.75" customHeight="1" x14ac:dyDescent="0.2">
      <c r="B836" s="146"/>
      <c r="C836" s="38" t="s">
        <v>114</v>
      </c>
      <c r="D836" s="66">
        <f>VLOOKUP($B800,[1]Complaints!$A$4:$AJ$39,33,)</f>
        <v>0</v>
      </c>
      <c r="E836" s="67">
        <f>VLOOKUP($B800,[2]Complaints!$A$4:$AJ$39,33,)</f>
        <v>0</v>
      </c>
      <c r="F836" s="67">
        <f>VLOOKUP($B800,[3]Complaints!$A$4:$AJ$39,33,)</f>
        <v>0</v>
      </c>
      <c r="G836" s="67">
        <f>VLOOKUP($B800,[4]Complaints!$A$4:$AJ$39,33,)</f>
        <v>0</v>
      </c>
      <c r="H836" s="67">
        <f>VLOOKUP($B800,[5]Complaints!$A$4:$AJ$39,33,)</f>
        <v>0</v>
      </c>
      <c r="I836" s="67">
        <f>VLOOKUP($B800,[6]Complaints!$A$4:$AJ$39,33,)</f>
        <v>0</v>
      </c>
      <c r="J836" s="67">
        <f>VLOOKUP($B800,[7]Complaints!$A$4:$AJ$39,33,)</f>
        <v>0</v>
      </c>
      <c r="K836" s="67">
        <f>VLOOKUP($B800,[8]Complaints!$A$4:$AJ$39,33,)</f>
        <v>0</v>
      </c>
      <c r="L836" s="67">
        <f>VLOOKUP($B800,[9]Complaints!$A$4:$AJ$39,33,)</f>
        <v>0</v>
      </c>
      <c r="M836" s="67">
        <f>VLOOKUP($B800,[10]Complaints!$A$4:$AJ$39,33,)</f>
        <v>0</v>
      </c>
      <c r="N836" s="67">
        <f>VLOOKUP($B800,[11]Complaints!$A$4:$AJ$39,33,)</f>
        <v>0</v>
      </c>
      <c r="O836" s="68">
        <f>VLOOKUP($B800,[12]Complaints!$A$4:$AJ$39,33,)</f>
        <v>0</v>
      </c>
      <c r="P836" s="69">
        <f t="shared" si="216"/>
        <v>0</v>
      </c>
      <c r="Q836" s="70" t="str">
        <f>IF(P836=0,"",P836/$P808)</f>
        <v/>
      </c>
      <c r="R836" s="18"/>
    </row>
    <row r="837" spans="2:19" ht="15.75" customHeight="1" x14ac:dyDescent="0.2">
      <c r="B837" s="146"/>
      <c r="C837" s="38" t="s">
        <v>115</v>
      </c>
      <c r="D837" s="66">
        <f>VLOOKUP($B800,[1]Complaints!$A$4:$AJ$39,34,)</f>
        <v>0</v>
      </c>
      <c r="E837" s="67">
        <f>VLOOKUP($B800,[2]Complaints!$A$4:$AJ$39,34,)</f>
        <v>0</v>
      </c>
      <c r="F837" s="67">
        <f>VLOOKUP($B800,[3]Complaints!$A$4:$AJ$39,34,)</f>
        <v>0</v>
      </c>
      <c r="G837" s="67">
        <f>VLOOKUP($B800,[4]Complaints!$A$4:$AJ$39,34,)</f>
        <v>0</v>
      </c>
      <c r="H837" s="67">
        <f>VLOOKUP($B800,[5]Complaints!$A$4:$AJ$39,34,)</f>
        <v>0</v>
      </c>
      <c r="I837" s="67">
        <f>VLOOKUP($B800,[6]Complaints!$A$4:$AJ$39,34,)</f>
        <v>0</v>
      </c>
      <c r="J837" s="67">
        <f>VLOOKUP($B800,[7]Complaints!$A$4:$AJ$39,34,)</f>
        <v>0</v>
      </c>
      <c r="K837" s="67">
        <f>VLOOKUP($B800,[8]Complaints!$A$4:$AJ$39,34,)</f>
        <v>0</v>
      </c>
      <c r="L837" s="67">
        <f>VLOOKUP($B800,[9]Complaints!$A$4:$AJ$39,34,)</f>
        <v>0</v>
      </c>
      <c r="M837" s="67">
        <f>VLOOKUP($B800,[10]Complaints!$A$4:$AJ$39,34,)</f>
        <v>0</v>
      </c>
      <c r="N837" s="67">
        <f>VLOOKUP($B800,[11]Complaints!$A$4:$AJ$39,34,)</f>
        <v>0</v>
      </c>
      <c r="O837" s="68">
        <f>VLOOKUP($B800,[12]Complaints!$A$4:$AJ$39,34,)</f>
        <v>0</v>
      </c>
      <c r="P837" s="69">
        <f t="shared" si="216"/>
        <v>0</v>
      </c>
      <c r="Q837" s="70" t="str">
        <f>IF(P837=0,"",P837/$P808)</f>
        <v/>
      </c>
      <c r="R837" s="18"/>
    </row>
    <row r="838" spans="2:19" ht="15.75" customHeight="1" x14ac:dyDescent="0.2">
      <c r="B838" s="146"/>
      <c r="C838" s="38" t="s">
        <v>116</v>
      </c>
      <c r="D838" s="66">
        <f>VLOOKUP($B800,[1]Complaints!$A$4:$AJ$39,35,)</f>
        <v>0</v>
      </c>
      <c r="E838" s="67">
        <f>VLOOKUP($B800,[2]Complaints!$A$4:$AJ$39,35,)</f>
        <v>0</v>
      </c>
      <c r="F838" s="67">
        <f>VLOOKUP($B800,[3]Complaints!$A$4:$AJ$39,35,)</f>
        <v>1</v>
      </c>
      <c r="G838" s="67">
        <f>VLOOKUP($B800,[4]Complaints!$A$4:$AJ$39,35,)</f>
        <v>0</v>
      </c>
      <c r="H838" s="67">
        <f>VLOOKUP($B800,[5]Complaints!$A$4:$AJ$39,35,)</f>
        <v>0</v>
      </c>
      <c r="I838" s="67">
        <f>VLOOKUP($B800,[6]Complaints!$A$4:$AJ$39,35,)</f>
        <v>0</v>
      </c>
      <c r="J838" s="67">
        <f>VLOOKUP($B800,[7]Complaints!$A$4:$AJ$39,35,)</f>
        <v>0</v>
      </c>
      <c r="K838" s="67">
        <f>VLOOKUP($B800,[8]Complaints!$A$4:$AJ$39,35,)</f>
        <v>0</v>
      </c>
      <c r="L838" s="67">
        <f>VLOOKUP($B800,[9]Complaints!$A$4:$AJ$39,35,)</f>
        <v>0</v>
      </c>
      <c r="M838" s="67">
        <f>VLOOKUP($B800,[10]Complaints!$A$4:$AJ$39,35,)</f>
        <v>0</v>
      </c>
      <c r="N838" s="67">
        <f>VLOOKUP($B800,[11]Complaints!$A$4:$AJ$39,35,)</f>
        <v>0</v>
      </c>
      <c r="O838" s="68">
        <f>VLOOKUP($B800,[12]Complaints!$A$4:$AJ$39,35,)</f>
        <v>0</v>
      </c>
      <c r="P838" s="69">
        <f t="shared" si="216"/>
        <v>1</v>
      </c>
      <c r="Q838" s="70">
        <f>IF(P838=0,"",P838/$P808)</f>
        <v>0.1111111111111111</v>
      </c>
      <c r="R838" s="18"/>
    </row>
    <row r="839" spans="2:19" ht="15.75" customHeight="1" thickBot="1" x14ac:dyDescent="0.25">
      <c r="B839" s="147"/>
      <c r="C839" s="41" t="s">
        <v>117</v>
      </c>
      <c r="D839" s="78">
        <f>VLOOKUP($B800,[1]Complaints!$A$4:$AJ$39,36,)</f>
        <v>0</v>
      </c>
      <c r="E839" s="79">
        <f>VLOOKUP($B800,[2]Complaints!$A$4:$AJ$39,36,)</f>
        <v>0</v>
      </c>
      <c r="F839" s="79">
        <f>VLOOKUP($B800,[3]Complaints!$A$4:$AJ$39,36,)</f>
        <v>0</v>
      </c>
      <c r="G839" s="79">
        <f>VLOOKUP($B800,[4]Complaints!$A$4:$AJ$39,36,)</f>
        <v>0</v>
      </c>
      <c r="H839" s="79">
        <f>VLOOKUP($B800,[5]Complaints!$A$4:$AJ$39,36,)</f>
        <v>0</v>
      </c>
      <c r="I839" s="79">
        <f>VLOOKUP($B800,[6]Complaints!$A$4:$AJ$39,36,)</f>
        <v>0</v>
      </c>
      <c r="J839" s="79">
        <f>VLOOKUP($B800,[7]Complaints!$A$4:$AJ$39,36,)</f>
        <v>0</v>
      </c>
      <c r="K839" s="79">
        <f>VLOOKUP($B800,[8]Complaints!$A$4:$AJ$39,36,)</f>
        <v>0</v>
      </c>
      <c r="L839" s="79">
        <f>VLOOKUP($B800,[9]Complaints!$A$4:$AJ$39,36,)</f>
        <v>0</v>
      </c>
      <c r="M839" s="79">
        <f>VLOOKUP($B800,[10]Complaints!$A$4:$AJ$39,36,)</f>
        <v>0</v>
      </c>
      <c r="N839" s="79">
        <f>VLOOKUP($B800,[11]Complaints!$A$4:$AJ$39,36,)</f>
        <v>0</v>
      </c>
      <c r="O839" s="80">
        <f>VLOOKUP($B800,[12]Complaints!$A$4:$AJ$39,36,)</f>
        <v>0</v>
      </c>
      <c r="P839" s="81">
        <f t="shared" si="216"/>
        <v>0</v>
      </c>
      <c r="Q839" s="82" t="str">
        <f>IF(P839=0,"",P839/$P808)</f>
        <v/>
      </c>
      <c r="R839" s="18"/>
    </row>
    <row r="840" spans="2:19" ht="15.75" customHeight="1" thickBot="1" x14ac:dyDescent="0.25">
      <c r="R840" s="18"/>
    </row>
    <row r="841" spans="2:19" ht="15.75" customHeight="1" x14ac:dyDescent="0.25">
      <c r="B841" s="158" t="s">
        <v>40</v>
      </c>
      <c r="C841" s="159"/>
      <c r="D841" s="32" t="s">
        <v>0</v>
      </c>
      <c r="E841" s="20" t="s">
        <v>1</v>
      </c>
      <c r="F841" s="20" t="s">
        <v>2</v>
      </c>
      <c r="G841" s="20" t="s">
        <v>3</v>
      </c>
      <c r="H841" s="20" t="s">
        <v>4</v>
      </c>
      <c r="I841" s="20" t="s">
        <v>5</v>
      </c>
      <c r="J841" s="20" t="s">
        <v>6</v>
      </c>
      <c r="K841" s="20" t="s">
        <v>7</v>
      </c>
      <c r="L841" s="20" t="s">
        <v>8</v>
      </c>
      <c r="M841" s="20" t="s">
        <v>9</v>
      </c>
      <c r="N841" s="20" t="s">
        <v>10</v>
      </c>
      <c r="O841" s="33" t="s">
        <v>11</v>
      </c>
      <c r="P841" s="35" t="s">
        <v>12</v>
      </c>
      <c r="Q841" s="160" t="s">
        <v>104</v>
      </c>
      <c r="R841" s="18"/>
    </row>
    <row r="842" spans="2:19" s="19" customFormat="1" ht="15.75" customHeight="1" thickBot="1" x14ac:dyDescent="0.3">
      <c r="B842" s="162" t="s">
        <v>56</v>
      </c>
      <c r="C842" s="163"/>
      <c r="D842" s="34">
        <v>2020</v>
      </c>
      <c r="E842" s="34">
        <v>2020</v>
      </c>
      <c r="F842" s="34">
        <v>2020</v>
      </c>
      <c r="G842" s="34">
        <v>2020</v>
      </c>
      <c r="H842" s="34">
        <v>2020</v>
      </c>
      <c r="I842" s="34">
        <v>2020</v>
      </c>
      <c r="J842" s="34">
        <v>2020</v>
      </c>
      <c r="K842" s="34">
        <v>2020</v>
      </c>
      <c r="L842" s="34">
        <v>2020</v>
      </c>
      <c r="M842" s="25">
        <v>2021</v>
      </c>
      <c r="N842" s="25">
        <v>2021</v>
      </c>
      <c r="O842" s="25">
        <v>2021</v>
      </c>
      <c r="P842" s="36" t="s">
        <v>122</v>
      </c>
      <c r="Q842" s="161"/>
      <c r="S842" s="18"/>
    </row>
    <row r="843" spans="2:19" ht="12.75" customHeight="1" thickBot="1" x14ac:dyDescent="0.25">
      <c r="B843" s="164" t="s">
        <v>38</v>
      </c>
      <c r="C843" s="165"/>
      <c r="D843" s="42">
        <f>VLOOKUP($B842,[1]Complaints!$A$4:$AJ$39,2,)</f>
        <v>310</v>
      </c>
      <c r="E843" s="43">
        <f>VLOOKUP($B842,[2]Complaints!$A$4:$AJ$39,2,)</f>
        <v>396</v>
      </c>
      <c r="F843" s="43">
        <f>VLOOKUP($B842,[3]Complaints!$A$4:$AJ$39,2)</f>
        <v>640</v>
      </c>
      <c r="G843" s="43">
        <f>VLOOKUP($B842,[4]Complaints!$A$4:$AJ$39,2)</f>
        <v>1357</v>
      </c>
      <c r="H843" s="43">
        <f>VLOOKUP($B842,[5]Complaints!$A$4:$AJ$39,2)</f>
        <v>1673</v>
      </c>
      <c r="I843" s="43">
        <f>VLOOKUP($B842,[6]Complaints!$A$4:$AJ$39,2)</f>
        <v>1953</v>
      </c>
      <c r="J843" s="43">
        <f>VLOOKUP($B842,[7]Complaints!$A$4:$AJ$39,2)</f>
        <v>1784</v>
      </c>
      <c r="K843" s="43">
        <f>VLOOKUP($B842,[8]Complaints!$A$4:$AJ$39,2)</f>
        <v>1784</v>
      </c>
      <c r="L843" s="43">
        <f>VLOOKUP($B842,[9]Complaints!$A$4:$AJ$39,2)</f>
        <v>1367</v>
      </c>
      <c r="M843" s="43">
        <f>VLOOKUP($B842,[10]Complaints!$A$4:$AJ$39,2)</f>
        <v>861</v>
      </c>
      <c r="N843" s="43">
        <f>VLOOKUP($B842,[11]Complaints!$A$4:$AJ$39,2)</f>
        <v>0</v>
      </c>
      <c r="O843" s="44">
        <f>VLOOKUP($B842,[12]Complaints!$A$4:$AJ$39,2)</f>
        <v>0</v>
      </c>
      <c r="P843" s="45">
        <f>SUM(D843:O843)</f>
        <v>12125</v>
      </c>
      <c r="Q843" s="46"/>
      <c r="R843" s="18"/>
    </row>
    <row r="844" spans="2:19" ht="15.75" customHeight="1" x14ac:dyDescent="0.2">
      <c r="B844" s="166" t="s">
        <v>94</v>
      </c>
      <c r="C844" s="167"/>
      <c r="D844" s="47">
        <f>VLOOKUP($B842,[1]Complaints!$A$4:$AF$39,3,)</f>
        <v>0</v>
      </c>
      <c r="E844" s="48">
        <f>VLOOKUP($B842,[2]Complaints!$A$4:$AF$39,3,)</f>
        <v>0</v>
      </c>
      <c r="F844" s="48">
        <f>VLOOKUP($B842,[3]Complaints!$A$4:$AG$39,3,)</f>
        <v>0</v>
      </c>
      <c r="G844" s="48">
        <f>VLOOKUP($B842,[4]Complaints!$A$4:$AG$39,3,)</f>
        <v>2</v>
      </c>
      <c r="H844" s="48">
        <f>VLOOKUP($B842,[5]Complaints!$A$4:$AG$39,3,)</f>
        <v>0</v>
      </c>
      <c r="I844" s="48">
        <f>VLOOKUP($B842,[6]Complaints!$A$4:$AG$39,3,)</f>
        <v>0</v>
      </c>
      <c r="J844" s="48">
        <f>VLOOKUP($B842,[7]Complaints!$A$4:$AG$39,3,)</f>
        <v>2</v>
      </c>
      <c r="K844" s="48">
        <f>VLOOKUP($B842,[8]Complaints!$A$4:$AG$39,3,)</f>
        <v>2</v>
      </c>
      <c r="L844" s="48">
        <f>VLOOKUP($B842,[9]Complaints!$A$4:$AG$39,3,)</f>
        <v>0</v>
      </c>
      <c r="M844" s="48">
        <f>VLOOKUP($B842,[10]Complaints!$A$4:$AG$39,3,)</f>
        <v>1</v>
      </c>
      <c r="N844" s="48">
        <f>VLOOKUP($B842,[11]Complaints!$A$4:$AG$39,3,)</f>
        <v>0</v>
      </c>
      <c r="O844" s="49">
        <f>VLOOKUP($B842,[12]Complaints!$A$4:$AG$39,3,)</f>
        <v>0</v>
      </c>
      <c r="P844" s="45">
        <f>SUM(D844:O844)</f>
        <v>7</v>
      </c>
      <c r="Q844" s="50"/>
      <c r="R844" s="18"/>
    </row>
    <row r="845" spans="2:19" ht="15.75" customHeight="1" x14ac:dyDescent="0.2">
      <c r="B845" s="26"/>
      <c r="C845" s="28" t="s">
        <v>102</v>
      </c>
      <c r="D845" s="51">
        <f>IF(D843=0,"",D844/D843)</f>
        <v>0</v>
      </c>
      <c r="E845" s="52">
        <f t="shared" ref="E845:O845" si="217">IF(E843=0,"",E844/E843)</f>
        <v>0</v>
      </c>
      <c r="F845" s="52">
        <f t="shared" si="217"/>
        <v>0</v>
      </c>
      <c r="G845" s="52">
        <f t="shared" si="217"/>
        <v>1.4738393515106854E-3</v>
      </c>
      <c r="H845" s="52">
        <f t="shared" si="217"/>
        <v>0</v>
      </c>
      <c r="I845" s="52">
        <f t="shared" si="217"/>
        <v>0</v>
      </c>
      <c r="J845" s="52">
        <f t="shared" si="217"/>
        <v>1.1210762331838565E-3</v>
      </c>
      <c r="K845" s="52">
        <f t="shared" si="217"/>
        <v>1.1210762331838565E-3</v>
      </c>
      <c r="L845" s="52">
        <f t="shared" si="217"/>
        <v>0</v>
      </c>
      <c r="M845" s="52">
        <f t="shared" si="217"/>
        <v>1.1614401858304297E-3</v>
      </c>
      <c r="N845" s="52" t="str">
        <f t="shared" si="217"/>
        <v/>
      </c>
      <c r="O845" s="53" t="str">
        <f t="shared" si="217"/>
        <v/>
      </c>
      <c r="P845" s="54">
        <f>IF(P844="","",P844/P843)</f>
        <v>5.77319587628866E-4</v>
      </c>
      <c r="Q845" s="50"/>
      <c r="R845" s="18"/>
    </row>
    <row r="846" spans="2:19" s="21" customFormat="1" ht="15.75" customHeight="1" x14ac:dyDescent="0.2">
      <c r="B846" s="155" t="s">
        <v>95</v>
      </c>
      <c r="C846" s="156"/>
      <c r="D846" s="47">
        <f>VLOOKUP($B842,[1]Complaints!$A$4:$AF$39,4,)</f>
        <v>0</v>
      </c>
      <c r="E846" s="48">
        <f>VLOOKUP($B842,[2]Complaints!$A$4:$AF$39,4,)</f>
        <v>0</v>
      </c>
      <c r="F846" s="48">
        <f>VLOOKUP($B842,[3]Complaints!$A$4:$AG$39,4,)</f>
        <v>0</v>
      </c>
      <c r="G846" s="48">
        <f>VLOOKUP($B842,[4]Complaints!$A$4:$AG$39,4,)</f>
        <v>0</v>
      </c>
      <c r="H846" s="48">
        <f>VLOOKUP($B842,[5]Complaints!$A$4:$AG$39,4,)</f>
        <v>0</v>
      </c>
      <c r="I846" s="48">
        <f>VLOOKUP($B842,[6]Complaints!$A$4:$AG$39,4,)</f>
        <v>0</v>
      </c>
      <c r="J846" s="48">
        <f>VLOOKUP($B842,[7]Complaints!$A$4:$AG$39,4,)</f>
        <v>1</v>
      </c>
      <c r="K846" s="48">
        <f>VLOOKUP($B842,[8]Complaints!$A$4:$AG$39,4,)</f>
        <v>1</v>
      </c>
      <c r="L846" s="48">
        <f>VLOOKUP($B842,[9]Complaints!$A$4:$AG$39,4,)</f>
        <v>0</v>
      </c>
      <c r="M846" s="48">
        <f>VLOOKUP($B842,[10]Complaints!$A$4:$AG$39,4,)</f>
        <v>0</v>
      </c>
      <c r="N846" s="48">
        <f>VLOOKUP($B842,[11]Complaints!$A$4:$AG$39,4,)</f>
        <v>0</v>
      </c>
      <c r="O846" s="49">
        <f>VLOOKUP($B842,[12]Complaints!$A$4:$AG$39,4,)</f>
        <v>0</v>
      </c>
      <c r="P846" s="55">
        <f t="shared" ref="P846" si="218">SUM(D846:O846)</f>
        <v>2</v>
      </c>
      <c r="Q846" s="50"/>
    </row>
    <row r="847" spans="2:19" ht="15.75" customHeight="1" x14ac:dyDescent="0.2">
      <c r="B847" s="26"/>
      <c r="C847" s="28" t="s">
        <v>98</v>
      </c>
      <c r="D847" s="51">
        <f>IF(D843=0,"",D846/D843)</f>
        <v>0</v>
      </c>
      <c r="E847" s="52">
        <f t="shared" ref="E847:O847" si="219">IF(E843=0,"",E846/E843)</f>
        <v>0</v>
      </c>
      <c r="F847" s="52">
        <f t="shared" si="219"/>
        <v>0</v>
      </c>
      <c r="G847" s="52">
        <f t="shared" si="219"/>
        <v>0</v>
      </c>
      <c r="H847" s="52">
        <f t="shared" si="219"/>
        <v>0</v>
      </c>
      <c r="I847" s="52">
        <f t="shared" si="219"/>
        <v>0</v>
      </c>
      <c r="J847" s="52">
        <f t="shared" si="219"/>
        <v>5.6053811659192824E-4</v>
      </c>
      <c r="K847" s="52">
        <f t="shared" si="219"/>
        <v>5.6053811659192824E-4</v>
      </c>
      <c r="L847" s="52">
        <f t="shared" si="219"/>
        <v>0</v>
      </c>
      <c r="M847" s="52">
        <f t="shared" si="219"/>
        <v>0</v>
      </c>
      <c r="N847" s="52" t="str">
        <f t="shared" si="219"/>
        <v/>
      </c>
      <c r="O847" s="53" t="str">
        <f t="shared" si="219"/>
        <v/>
      </c>
      <c r="P847" s="54">
        <f>IF(P846="","",P846/P843)</f>
        <v>1.6494845360824742E-4</v>
      </c>
      <c r="Q847" s="50"/>
      <c r="R847" s="18"/>
    </row>
    <row r="848" spans="2:19" ht="15.75" customHeight="1" x14ac:dyDescent="0.2">
      <c r="B848" s="155" t="s">
        <v>96</v>
      </c>
      <c r="C848" s="156"/>
      <c r="D848" s="47">
        <f>VLOOKUP($B842,[1]Complaints!$A$4:$AF$39,5,)</f>
        <v>0</v>
      </c>
      <c r="E848" s="48">
        <f>VLOOKUP($B842,[2]Complaints!$A$4:$AF$39,5,)</f>
        <v>0</v>
      </c>
      <c r="F848" s="48">
        <f>VLOOKUP($B842,[3]Complaints!$A$4:$AG$39,5,)</f>
        <v>0</v>
      </c>
      <c r="G848" s="48">
        <f>VLOOKUP($B842,[4]Complaints!$A$4:$AG$39,5,)</f>
        <v>2</v>
      </c>
      <c r="H848" s="48">
        <f>VLOOKUP($B842,[5]Complaints!$A$4:$AG$39,5,)</f>
        <v>0</v>
      </c>
      <c r="I848" s="48">
        <f>VLOOKUP($B842,[6]Complaints!$A$4:$AG$39,5,)</f>
        <v>0</v>
      </c>
      <c r="J848" s="48">
        <f>VLOOKUP($B842,[7]Complaints!$A$4:$AG$39,5,)</f>
        <v>1</v>
      </c>
      <c r="K848" s="48">
        <f>VLOOKUP($B842,[8]Complaints!$A$4:$AG$39,5,)</f>
        <v>1</v>
      </c>
      <c r="L848" s="48">
        <f>VLOOKUP($B842,[9]Complaints!$A$4:$AG$39,5,)</f>
        <v>0</v>
      </c>
      <c r="M848" s="48">
        <f>VLOOKUP($B842,[10]Complaints!$A$4:$AG$39,5,)</f>
        <v>1</v>
      </c>
      <c r="N848" s="48">
        <f>VLOOKUP($B842,[11]Complaints!$A$4:$AG$39,5,)</f>
        <v>0</v>
      </c>
      <c r="O848" s="49">
        <f>VLOOKUP($B842,[12]Complaints!$A$4:$AG$39,5,)</f>
        <v>0</v>
      </c>
      <c r="P848" s="55">
        <f t="shared" ref="P848" si="220">SUM(D848:O848)</f>
        <v>5</v>
      </c>
      <c r="Q848" s="50"/>
      <c r="R848" s="18"/>
    </row>
    <row r="849" spans="2:18" ht="15.75" customHeight="1" x14ac:dyDescent="0.2">
      <c r="B849" s="26"/>
      <c r="C849" s="28" t="s">
        <v>99</v>
      </c>
      <c r="D849" s="51">
        <f>IF(D843=0,"",D848/D843)</f>
        <v>0</v>
      </c>
      <c r="E849" s="52">
        <f t="shared" ref="E849:O849" si="221">IF(E843=0,"",E848/E843)</f>
        <v>0</v>
      </c>
      <c r="F849" s="52">
        <f t="shared" si="221"/>
        <v>0</v>
      </c>
      <c r="G849" s="52">
        <f t="shared" si="221"/>
        <v>1.4738393515106854E-3</v>
      </c>
      <c r="H849" s="52">
        <f t="shared" si="221"/>
        <v>0</v>
      </c>
      <c r="I849" s="52">
        <f t="shared" si="221"/>
        <v>0</v>
      </c>
      <c r="J849" s="52">
        <f t="shared" si="221"/>
        <v>5.6053811659192824E-4</v>
      </c>
      <c r="K849" s="52">
        <f t="shared" si="221"/>
        <v>5.6053811659192824E-4</v>
      </c>
      <c r="L849" s="52">
        <f t="shared" si="221"/>
        <v>0</v>
      </c>
      <c r="M849" s="52">
        <f t="shared" si="221"/>
        <v>1.1614401858304297E-3</v>
      </c>
      <c r="N849" s="52" t="str">
        <f t="shared" si="221"/>
        <v/>
      </c>
      <c r="O849" s="53" t="str">
        <f t="shared" si="221"/>
        <v/>
      </c>
      <c r="P849" s="54">
        <f>IF(P848="","",P848/P843)</f>
        <v>4.1237113402061858E-4</v>
      </c>
      <c r="Q849" s="50"/>
      <c r="R849" s="18"/>
    </row>
    <row r="850" spans="2:18" ht="15.75" customHeight="1" x14ac:dyDescent="0.2">
      <c r="B850" s="157" t="s">
        <v>97</v>
      </c>
      <c r="C850" s="156"/>
      <c r="D850" s="47">
        <f>VLOOKUP($B842,[1]Complaints!$A$4:$AF$39,6,)</f>
        <v>0</v>
      </c>
      <c r="E850" s="48">
        <f>VLOOKUP($B842,[2]Complaints!$A$4:$AF$39,6,)</f>
        <v>0</v>
      </c>
      <c r="F850" s="48">
        <f>VLOOKUP($B842,[3]Complaints!$A$4:$AG$39,6,)</f>
        <v>0</v>
      </c>
      <c r="G850" s="48">
        <f>VLOOKUP($B842,[4]Complaints!$A$4:$AG$39,6,)</f>
        <v>2</v>
      </c>
      <c r="H850" s="48">
        <f>VLOOKUP($B842,[5]Complaints!$A$4:$AG$39,6,)</f>
        <v>0</v>
      </c>
      <c r="I850" s="48">
        <f>VLOOKUP($B842,[6]Complaints!$A$4:$AG$39,6,)</f>
        <v>0</v>
      </c>
      <c r="J850" s="48">
        <f>VLOOKUP($B842,[7]Complaints!$A$4:$AG$39,6,)</f>
        <v>1</v>
      </c>
      <c r="K850" s="48">
        <f>VLOOKUP($B842,[8]Complaints!$A$4:$AG$39,6,)</f>
        <v>1</v>
      </c>
      <c r="L850" s="48">
        <f>VLOOKUP($B842,[9]Complaints!$A$4:$AG$39,6,)</f>
        <v>0</v>
      </c>
      <c r="M850" s="48">
        <f>VLOOKUP($B842,[10]Complaints!$A$4:$AG$39,6,)</f>
        <v>0</v>
      </c>
      <c r="N850" s="48">
        <f>VLOOKUP($B842,[11]Complaints!$A$4:$AG$39,6,)</f>
        <v>0</v>
      </c>
      <c r="O850" s="49">
        <f>VLOOKUP($B842,[12]Complaints!$A$4:$AG$39,6,)</f>
        <v>0</v>
      </c>
      <c r="P850" s="55">
        <f t="shared" ref="P850" si="222">SUM(D850:O850)</f>
        <v>4</v>
      </c>
      <c r="Q850" s="50"/>
      <c r="R850" s="18"/>
    </row>
    <row r="851" spans="2:18" ht="15.75" customHeight="1" thickBot="1" x14ac:dyDescent="0.25">
      <c r="B851" s="27"/>
      <c r="C851" s="29" t="s">
        <v>100</v>
      </c>
      <c r="D851" s="56" t="str">
        <f>IF(D850=0,"",D850/D848)</f>
        <v/>
      </c>
      <c r="E851" s="57" t="str">
        <f t="shared" ref="E851:H851" si="223">IF(E850=0,"",E850/E848)</f>
        <v/>
      </c>
      <c r="F851" s="57" t="str">
        <f t="shared" si="223"/>
        <v/>
      </c>
      <c r="G851" s="57">
        <f t="shared" si="223"/>
        <v>1</v>
      </c>
      <c r="H851" s="57" t="str">
        <f t="shared" si="223"/>
        <v/>
      </c>
      <c r="I851" s="57" t="str">
        <f>IF(I850=0,"",I850/I848)</f>
        <v/>
      </c>
      <c r="J851" s="57">
        <f t="shared" ref="J851:O851" si="224">IF(J850=0,"",J850/J848)</f>
        <v>1</v>
      </c>
      <c r="K851" s="57">
        <f t="shared" si="224"/>
        <v>1</v>
      </c>
      <c r="L851" s="57" t="str">
        <f t="shared" si="224"/>
        <v/>
      </c>
      <c r="M851" s="57" t="str">
        <f t="shared" si="224"/>
        <v/>
      </c>
      <c r="N851" s="57" t="str">
        <f t="shared" si="224"/>
        <v/>
      </c>
      <c r="O851" s="58" t="str">
        <f t="shared" si="224"/>
        <v/>
      </c>
      <c r="P851" s="59">
        <f>IF(P850=0,"",P850/P848)</f>
        <v>0.8</v>
      </c>
      <c r="Q851" s="60"/>
      <c r="R851" s="18"/>
    </row>
    <row r="852" spans="2:18" ht="15.75" customHeight="1" x14ac:dyDescent="0.2">
      <c r="B852" s="168" t="s">
        <v>103</v>
      </c>
      <c r="C852" s="30" t="s">
        <v>77</v>
      </c>
      <c r="D852" s="61">
        <f>VLOOKUP($B842,[1]Complaints!$A$4:$AJ$39,7,)</f>
        <v>0</v>
      </c>
      <c r="E852" s="43">
        <f>VLOOKUP($B842,[2]Complaints!$A$4:$AJ$39,7,)</f>
        <v>0</v>
      </c>
      <c r="F852" s="43">
        <f>VLOOKUP($B842,[3]Complaints!$A$4:$AJ$39,7,)</f>
        <v>0</v>
      </c>
      <c r="G852" s="43">
        <f>VLOOKUP($B842,[4]Complaints!$A$4:$AJ$39,7,)</f>
        <v>0</v>
      </c>
      <c r="H852" s="43">
        <f>VLOOKUP($B842,[5]Complaints!$A$4:$AJ$39,7,)</f>
        <v>0</v>
      </c>
      <c r="I852" s="43">
        <f>VLOOKUP($B842,[6]Complaints!$A$4:$AJ$39,7,)</f>
        <v>0</v>
      </c>
      <c r="J852" s="43">
        <f>VLOOKUP($B842,[7]Complaints!$A$4:$AJ$39,7,)</f>
        <v>0</v>
      </c>
      <c r="K852" s="43">
        <f>VLOOKUP($B842,[8]Complaints!$A$4:$AJ$39,7,)</f>
        <v>0</v>
      </c>
      <c r="L852" s="43">
        <f>VLOOKUP($B842,[9]Complaints!$A$4:$AJ$39,7,)</f>
        <v>0</v>
      </c>
      <c r="M852" s="43">
        <f>VLOOKUP($B842,[10]Complaints!$A$4:$AJ$39,7,)</f>
        <v>0</v>
      </c>
      <c r="N852" s="43">
        <f>VLOOKUP($B842,[11]Complaints!$A$4:$AJ$39,7,)</f>
        <v>0</v>
      </c>
      <c r="O852" s="44">
        <f>VLOOKUP($B842,[12]Complaints!$A$4:$AJ$39,7,)</f>
        <v>0</v>
      </c>
      <c r="P852" s="45">
        <f>SUM(D852:O852)</f>
        <v>0</v>
      </c>
      <c r="Q852" s="46" t="str">
        <f>IF(P852=0,"",P852/$P844)</f>
        <v/>
      </c>
      <c r="R852" s="18"/>
    </row>
    <row r="853" spans="2:18" ht="15.75" customHeight="1" x14ac:dyDescent="0.2">
      <c r="B853" s="169"/>
      <c r="C853" s="31" t="s">
        <v>89</v>
      </c>
      <c r="D853" s="47">
        <f>VLOOKUP($B842,[1]Complaints!$A$4:$AJ$39,8,)</f>
        <v>0</v>
      </c>
      <c r="E853" s="48">
        <f>VLOOKUP($B842,[2]Complaints!$A$4:$AJ$39,8,)</f>
        <v>0</v>
      </c>
      <c r="F853" s="48">
        <f>VLOOKUP($B842,[3]Complaints!$A$4:$AJ$39,8,)</f>
        <v>0</v>
      </c>
      <c r="G853" s="48">
        <f>VLOOKUP($B842,[4]Complaints!$A$4:$AJ$39,8,)</f>
        <v>1</v>
      </c>
      <c r="H853" s="48">
        <f>VLOOKUP($B842,[5]Complaints!$A$4:$AJ$39,8,)</f>
        <v>0</v>
      </c>
      <c r="I853" s="48">
        <f>VLOOKUP($B842,[6]Complaints!$A$4:$AJ$39,8,)</f>
        <v>0</v>
      </c>
      <c r="J853" s="48">
        <f>VLOOKUP($B842,[7]Complaints!$A$4:$AJ$39,8,)</f>
        <v>0</v>
      </c>
      <c r="K853" s="48">
        <f>VLOOKUP($B842,[8]Complaints!$A$4:$AJ$39,8,)</f>
        <v>0</v>
      </c>
      <c r="L853" s="48">
        <f>VLOOKUP($B842,[9]Complaints!$A$4:$AJ$39,8,)</f>
        <v>0</v>
      </c>
      <c r="M853" s="48">
        <f>VLOOKUP($B842,[10]Complaints!$A$4:$AJ$39,8,)</f>
        <v>1</v>
      </c>
      <c r="N853" s="48">
        <f>VLOOKUP($B842,[11]Complaints!$A$4:$AJ$39,8,)</f>
        <v>0</v>
      </c>
      <c r="O853" s="49">
        <f>VLOOKUP($B842,[12]Complaints!$A$4:$AJ$39,8,)</f>
        <v>0</v>
      </c>
      <c r="P853" s="55">
        <f t="shared" ref="P853:P854" si="225">SUM(D853:O853)</f>
        <v>2</v>
      </c>
      <c r="Q853" s="50">
        <f>IF(P853="","",P853/$P844)</f>
        <v>0.2857142857142857</v>
      </c>
      <c r="R853" s="18"/>
    </row>
    <row r="854" spans="2:18" ht="15.75" customHeight="1" x14ac:dyDescent="0.2">
      <c r="B854" s="169"/>
      <c r="C854" s="31" t="s">
        <v>88</v>
      </c>
      <c r="D854" s="47">
        <f>VLOOKUP($B842,[1]Complaints!$A$4:$AJ$39,9,)</f>
        <v>0</v>
      </c>
      <c r="E854" s="48">
        <f>VLOOKUP($B842,[2]Complaints!$A$4:$AJ$39,9,)</f>
        <v>0</v>
      </c>
      <c r="F854" s="48">
        <f>VLOOKUP($B842,[3]Complaints!$A$4:$AJ$39,9,)</f>
        <v>0</v>
      </c>
      <c r="G854" s="48">
        <f>VLOOKUP($B842,[4]Complaints!$A$4:$AJ$39,9,)</f>
        <v>0</v>
      </c>
      <c r="H854" s="48">
        <f>VLOOKUP($B842,[5]Complaints!$A$4:$AJ$39,9,)</f>
        <v>0</v>
      </c>
      <c r="I854" s="48">
        <f>VLOOKUP($B842,[6]Complaints!$A$4:$AJ$39,9,)</f>
        <v>0</v>
      </c>
      <c r="J854" s="48">
        <f>VLOOKUP($B842,[7]Complaints!$A$4:$AJ$39,9,)</f>
        <v>0</v>
      </c>
      <c r="K854" s="48">
        <f>VLOOKUP($B842,[8]Complaints!$A$4:$AJ$39,9,)</f>
        <v>0</v>
      </c>
      <c r="L854" s="48">
        <f>VLOOKUP($B842,[9]Complaints!$A$4:$AJ$39,9,)</f>
        <v>0</v>
      </c>
      <c r="M854" s="48">
        <f>VLOOKUP($B842,[10]Complaints!$A$4:$AJ$39,9,)</f>
        <v>0</v>
      </c>
      <c r="N854" s="48">
        <f>VLOOKUP($B842,[11]Complaints!$A$4:$AJ$39,9,)</f>
        <v>0</v>
      </c>
      <c r="O854" s="49">
        <f>VLOOKUP($B842,[12]Complaints!$A$4:$AJ$39,9,)</f>
        <v>0</v>
      </c>
      <c r="P854" s="55">
        <f t="shared" si="225"/>
        <v>0</v>
      </c>
      <c r="Q854" s="50" t="str">
        <f>IF(P854=0,"",P854/$P844)</f>
        <v/>
      </c>
      <c r="R854" s="18"/>
    </row>
    <row r="855" spans="2:18" ht="15.75" customHeight="1" x14ac:dyDescent="0.2">
      <c r="B855" s="169"/>
      <c r="C855" s="31" t="s">
        <v>13</v>
      </c>
      <c r="D855" s="47">
        <f>VLOOKUP($B842,[1]Complaints!$A$4:$AJ$39,10,)</f>
        <v>0</v>
      </c>
      <c r="E855" s="48">
        <f>VLOOKUP($B842,[2]Complaints!$A$4:$AJ$39,10,)</f>
        <v>0</v>
      </c>
      <c r="F855" s="48">
        <f>VLOOKUP($B842,[3]Complaints!$A$4:$AJ$39,10,)</f>
        <v>0</v>
      </c>
      <c r="G855" s="48">
        <f>VLOOKUP($B842,[4]Complaints!$A$4:$AJ$39,10,)</f>
        <v>0</v>
      </c>
      <c r="H855" s="48">
        <f>VLOOKUP($B842,[5]Complaints!$A$4:$AJ$39,10,)</f>
        <v>0</v>
      </c>
      <c r="I855" s="48">
        <f>VLOOKUP($B842,[6]Complaints!$A$4:$AJ$39,10,)</f>
        <v>0</v>
      </c>
      <c r="J855" s="48">
        <f>VLOOKUP($B842,[7]Complaints!$A$4:$AJ$39,10,)</f>
        <v>1</v>
      </c>
      <c r="K855" s="48">
        <f>VLOOKUP($B842,[8]Complaints!$A$4:$AJ$39,10,)</f>
        <v>0</v>
      </c>
      <c r="L855" s="48">
        <f>VLOOKUP($B842,[9]Complaints!$A$4:$AJ$39,10,)</f>
        <v>0</v>
      </c>
      <c r="M855" s="48">
        <f>VLOOKUP($B842,[10]Complaints!$A$4:$AJ$39,10,)</f>
        <v>0</v>
      </c>
      <c r="N855" s="48">
        <f>VLOOKUP($B842,[11]Complaints!$A$4:$AJ$39,10,)</f>
        <v>0</v>
      </c>
      <c r="O855" s="49">
        <f>VLOOKUP($B842,[12]Complaints!$A$4:$AJ$39,10,)</f>
        <v>0</v>
      </c>
      <c r="P855" s="55">
        <f>SUM(D855:O855)</f>
        <v>1</v>
      </c>
      <c r="Q855" s="50">
        <f>IF(P855=0,"",P855/$P844)</f>
        <v>0.14285714285714285</v>
      </c>
      <c r="R855" s="18"/>
    </row>
    <row r="856" spans="2:18" ht="15.75" customHeight="1" x14ac:dyDescent="0.2">
      <c r="B856" s="169"/>
      <c r="C856" s="31" t="s">
        <v>101</v>
      </c>
      <c r="D856" s="47">
        <f>VLOOKUP($B842,[1]Complaints!$A$4:$AJ$39,11,)</f>
        <v>0</v>
      </c>
      <c r="E856" s="48">
        <f>VLOOKUP($B842,[2]Complaints!$A$4:$AJ$39,11,)</f>
        <v>0</v>
      </c>
      <c r="F856" s="48">
        <f>VLOOKUP($B842,[3]Complaints!$A$4:$AJ$39,11,)</f>
        <v>0</v>
      </c>
      <c r="G856" s="48">
        <f>VLOOKUP($B842,[4]Complaints!$A$4:$AJ$39,11,)</f>
        <v>0</v>
      </c>
      <c r="H856" s="48">
        <f>VLOOKUP($B842,[5]Complaints!$A$4:$AJ$39,11,)</f>
        <v>0</v>
      </c>
      <c r="I856" s="48">
        <f>VLOOKUP($B842,[6]Complaints!$A$4:$AJ$39,11,)</f>
        <v>0</v>
      </c>
      <c r="J856" s="48">
        <f>VLOOKUP($B842,[7]Complaints!$A$4:$AJ$39,11,)</f>
        <v>1</v>
      </c>
      <c r="K856" s="48">
        <f>VLOOKUP($B842,[8]Complaints!$A$4:$AJ$39,11,)</f>
        <v>0</v>
      </c>
      <c r="L856" s="48">
        <f>VLOOKUP($B842,[9]Complaints!$A$4:$AJ$39,11,)</f>
        <v>0</v>
      </c>
      <c r="M856" s="48">
        <f>VLOOKUP($B842,[10]Complaints!$A$4:$AJ$39,11,)</f>
        <v>0</v>
      </c>
      <c r="N856" s="48">
        <f>VLOOKUP($B842,[11]Complaints!$A$4:$AJ$39,11,)</f>
        <v>0</v>
      </c>
      <c r="O856" s="49">
        <f>VLOOKUP($B842,[12]Complaints!$A$4:$AJ$39,11,)</f>
        <v>0</v>
      </c>
      <c r="P856" s="55">
        <f t="shared" ref="P856:P865" si="226">SUM(D856:O856)</f>
        <v>1</v>
      </c>
      <c r="Q856" s="50">
        <f>IF(P856=0,"",P856/$P844)</f>
        <v>0.14285714285714285</v>
      </c>
      <c r="R856" s="18"/>
    </row>
    <row r="857" spans="2:18" s="19" customFormat="1" ht="15.75" customHeight="1" x14ac:dyDescent="0.2">
      <c r="B857" s="169"/>
      <c r="C857" s="31" t="s">
        <v>93</v>
      </c>
      <c r="D857" s="47">
        <f>VLOOKUP($B842,[1]Complaints!$A$4:$AJ$39,12,)</f>
        <v>0</v>
      </c>
      <c r="E857" s="48">
        <f>VLOOKUP($B842,[2]Complaints!$A$4:$AJ$39,12,)</f>
        <v>0</v>
      </c>
      <c r="F857" s="48">
        <f>VLOOKUP($B842,[3]Complaints!$A$4:$AJ$39,12,)</f>
        <v>0</v>
      </c>
      <c r="G857" s="48">
        <f>VLOOKUP($B842,[4]Complaints!$A$4:$AJ$39,12,)</f>
        <v>1</v>
      </c>
      <c r="H857" s="48">
        <f>VLOOKUP($B842,[5]Complaints!$A$4:$AJ$39,12,)</f>
        <v>0</v>
      </c>
      <c r="I857" s="48">
        <f>VLOOKUP($B842,[6]Complaints!$A$4:$AJ$39,12,)</f>
        <v>0</v>
      </c>
      <c r="J857" s="48">
        <f>VLOOKUP($B842,[7]Complaints!$A$4:$AJ$39,12,)</f>
        <v>0</v>
      </c>
      <c r="K857" s="48">
        <f>VLOOKUP($B842,[8]Complaints!$A$4:$AJ$39,12,)</f>
        <v>0</v>
      </c>
      <c r="L857" s="48">
        <f>VLOOKUP($B842,[9]Complaints!$A$4:$AJ$39,12,)</f>
        <v>0</v>
      </c>
      <c r="M857" s="48">
        <f>VLOOKUP($B842,[10]Complaints!$A$4:$AJ$39,12,)</f>
        <v>0</v>
      </c>
      <c r="N857" s="48">
        <f>VLOOKUP($B842,[11]Complaints!$A$4:$AJ$39,12,)</f>
        <v>0</v>
      </c>
      <c r="O857" s="49">
        <f>VLOOKUP($B842,[12]Complaints!$A$4:$AJ$39,12,)</f>
        <v>0</v>
      </c>
      <c r="P857" s="55">
        <f t="shared" si="226"/>
        <v>1</v>
      </c>
      <c r="Q857" s="50">
        <f>IF(P857=0,"",P857/$P844)</f>
        <v>0.14285714285714285</v>
      </c>
    </row>
    <row r="858" spans="2:18" ht="15.75" customHeight="1" x14ac:dyDescent="0.2">
      <c r="B858" s="169"/>
      <c r="C858" s="31" t="s">
        <v>78</v>
      </c>
      <c r="D858" s="47">
        <f>VLOOKUP($B842,[1]Complaints!$A$4:$AJ$39,13,)</f>
        <v>0</v>
      </c>
      <c r="E858" s="48">
        <f>VLOOKUP($B842,[2]Complaints!$A$4:$AJ$39,13,)</f>
        <v>0</v>
      </c>
      <c r="F858" s="48">
        <f>VLOOKUP($B842,[3]Complaints!$A$4:$AJ$39,13,)</f>
        <v>0</v>
      </c>
      <c r="G858" s="48">
        <f>VLOOKUP($B842,[4]Complaints!$A$4:$AJ$39,13,)</f>
        <v>0</v>
      </c>
      <c r="H858" s="48">
        <f>VLOOKUP($B842,[5]Complaints!$A$4:$AJ$39,13,)</f>
        <v>0</v>
      </c>
      <c r="I858" s="48">
        <f>VLOOKUP($B842,[6]Complaints!$A$4:$AJ$39,13,)</f>
        <v>0</v>
      </c>
      <c r="J858" s="48">
        <f>VLOOKUP($B842,[7]Complaints!$A$4:$AJ$39,13,)</f>
        <v>0</v>
      </c>
      <c r="K858" s="48">
        <f>VLOOKUP($B842,[8]Complaints!$A$4:$AJ$39,13,)</f>
        <v>0</v>
      </c>
      <c r="L858" s="48">
        <f>VLOOKUP($B842,[9]Complaints!$A$4:$AJ$39,13,)</f>
        <v>0</v>
      </c>
      <c r="M858" s="48">
        <f>VLOOKUP($B842,[10]Complaints!$A$4:$AJ$39,13,)</f>
        <v>0</v>
      </c>
      <c r="N858" s="48">
        <f>VLOOKUP($B842,[11]Complaints!$A$4:$AJ$39,13,)</f>
        <v>0</v>
      </c>
      <c r="O858" s="49">
        <f>VLOOKUP($B842,[12]Complaints!$A$4:$AJ$39,13,)</f>
        <v>0</v>
      </c>
      <c r="P858" s="55">
        <f t="shared" si="226"/>
        <v>0</v>
      </c>
      <c r="Q858" s="50" t="str">
        <f>IF(P858=0,"",P858/$P844)</f>
        <v/>
      </c>
      <c r="R858" s="18"/>
    </row>
    <row r="859" spans="2:18" ht="15.75" customHeight="1" x14ac:dyDescent="0.2">
      <c r="B859" s="169"/>
      <c r="C859" s="31" t="s">
        <v>92</v>
      </c>
      <c r="D859" s="47">
        <f>VLOOKUP($B842,[1]Complaints!$A$4:$AJ$39,14,)</f>
        <v>0</v>
      </c>
      <c r="E859" s="48">
        <f>VLOOKUP($B842,[2]Complaints!$A$4:$AJ$39,14,)</f>
        <v>0</v>
      </c>
      <c r="F859" s="48">
        <f>VLOOKUP($B842,[3]Complaints!$A$4:$AJ$39,14,)</f>
        <v>0</v>
      </c>
      <c r="G859" s="48">
        <f>VLOOKUP($B842,[4]Complaints!$A$4:$AJ$39,14,)</f>
        <v>0</v>
      </c>
      <c r="H859" s="48">
        <f>VLOOKUP($B842,[5]Complaints!$A$4:$AJ$39,14,)</f>
        <v>0</v>
      </c>
      <c r="I859" s="48">
        <f>VLOOKUP($B842,[6]Complaints!$A$4:$AJ$39,14,)</f>
        <v>0</v>
      </c>
      <c r="J859" s="48">
        <f>VLOOKUP($B842,[7]Complaints!$A$4:$AJ$39,14,)</f>
        <v>0</v>
      </c>
      <c r="K859" s="48">
        <f>VLOOKUP($B842,[8]Complaints!$A$4:$AJ$39,14,)</f>
        <v>0</v>
      </c>
      <c r="L859" s="48">
        <f>VLOOKUP($B842,[9]Complaints!$A$4:$AJ$39,14,)</f>
        <v>0</v>
      </c>
      <c r="M859" s="48">
        <f>VLOOKUP($B842,[10]Complaints!$A$4:$AJ$39,14,)</f>
        <v>0</v>
      </c>
      <c r="N859" s="48">
        <f>VLOOKUP($B842,[11]Complaints!$A$4:$AJ$39,14,)</f>
        <v>0</v>
      </c>
      <c r="O859" s="49">
        <f>VLOOKUP($B842,[12]Complaints!$A$4:$AJ$39,14,)</f>
        <v>0</v>
      </c>
      <c r="P859" s="55">
        <f t="shared" si="226"/>
        <v>0</v>
      </c>
      <c r="Q859" s="50" t="str">
        <f>IF(P859=0,"",P859/$P844)</f>
        <v/>
      </c>
      <c r="R859" s="18"/>
    </row>
    <row r="860" spans="2:18" ht="15.75" customHeight="1" x14ac:dyDescent="0.2">
      <c r="B860" s="169"/>
      <c r="C860" s="31" t="s">
        <v>91</v>
      </c>
      <c r="D860" s="47">
        <f>VLOOKUP($B842,[1]Complaints!$A$4:$AJ$39,15,)</f>
        <v>0</v>
      </c>
      <c r="E860" s="48">
        <f>VLOOKUP($B842,[2]Complaints!$A$4:$AJ$39,15,)</f>
        <v>0</v>
      </c>
      <c r="F860" s="48">
        <f>VLOOKUP($B842,[3]Complaints!$A$4:$AJ$39,15,)</f>
        <v>0</v>
      </c>
      <c r="G860" s="48">
        <f>VLOOKUP($B842,[4]Complaints!$A$4:$AJ$39,15,)</f>
        <v>0</v>
      </c>
      <c r="H860" s="48">
        <f>VLOOKUP($B842,[5]Complaints!$A$4:$AJ$39,15,)</f>
        <v>0</v>
      </c>
      <c r="I860" s="48">
        <f>VLOOKUP($B842,[6]Complaints!$A$4:$AJ$39,15,)</f>
        <v>0</v>
      </c>
      <c r="J860" s="48">
        <f>VLOOKUP($B842,[7]Complaints!$A$4:$AJ$39,15,)</f>
        <v>0</v>
      </c>
      <c r="K860" s="48">
        <f>VLOOKUP($B842,[8]Complaints!$A$4:$AJ$39,15,)</f>
        <v>0</v>
      </c>
      <c r="L860" s="48">
        <f>VLOOKUP($B842,[9]Complaints!$A$4:$AJ$39,15,)</f>
        <v>0</v>
      </c>
      <c r="M860" s="48">
        <f>VLOOKUP($B842,[10]Complaints!$A$4:$AJ$39,15,)</f>
        <v>0</v>
      </c>
      <c r="N860" s="48">
        <f>VLOOKUP($B842,[11]Complaints!$A$4:$AJ$39,15,)</f>
        <v>0</v>
      </c>
      <c r="O860" s="49">
        <f>VLOOKUP($B842,[12]Complaints!$A$4:$AJ$39,15,)</f>
        <v>0</v>
      </c>
      <c r="P860" s="55">
        <f t="shared" si="226"/>
        <v>0</v>
      </c>
      <c r="Q860" s="50" t="str">
        <f>IF(P860=0,"",P860/$P844)</f>
        <v/>
      </c>
      <c r="R860" s="18"/>
    </row>
    <row r="861" spans="2:18" ht="15.75" customHeight="1" x14ac:dyDescent="0.2">
      <c r="B861" s="169"/>
      <c r="C861" s="31" t="s">
        <v>79</v>
      </c>
      <c r="D861" s="47">
        <f>VLOOKUP($B842,[1]Complaints!$A$4:$AJ$39,16,)</f>
        <v>0</v>
      </c>
      <c r="E861" s="48">
        <f>VLOOKUP($B842,[2]Complaints!$A$4:$AJ$39,16,)</f>
        <v>0</v>
      </c>
      <c r="F861" s="48">
        <f>VLOOKUP($B842,[3]Complaints!$A$4:$AJ$39,16,)</f>
        <v>0</v>
      </c>
      <c r="G861" s="48">
        <f>VLOOKUP($B842,[4]Complaints!$A$4:$AJ$39,16,)</f>
        <v>0</v>
      </c>
      <c r="H861" s="48">
        <f>VLOOKUP($B842,[5]Complaints!$A$4:$AJ$39,16,)</f>
        <v>0</v>
      </c>
      <c r="I861" s="48">
        <f>VLOOKUP($B842,[6]Complaints!$A$4:$AJ$39,16,)</f>
        <v>0</v>
      </c>
      <c r="J861" s="48">
        <f>VLOOKUP($B842,[7]Complaints!$A$4:$AJ$39,16,)</f>
        <v>0</v>
      </c>
      <c r="K861" s="48">
        <f>VLOOKUP($B842,[8]Complaints!$A$4:$AJ$39,16,)</f>
        <v>0</v>
      </c>
      <c r="L861" s="48">
        <f>VLOOKUP($B842,[9]Complaints!$A$4:$AJ$39,16,)</f>
        <v>0</v>
      </c>
      <c r="M861" s="48">
        <f>VLOOKUP($B842,[10]Complaints!$A$4:$AJ$39,16,)</f>
        <v>0</v>
      </c>
      <c r="N861" s="48">
        <f>VLOOKUP($B842,[11]Complaints!$A$4:$AJ$39,16,)</f>
        <v>0</v>
      </c>
      <c r="O861" s="49">
        <f>VLOOKUP($B842,[12]Complaints!$A$4:$AJ$39,16,)</f>
        <v>0</v>
      </c>
      <c r="P861" s="55">
        <f t="shared" si="226"/>
        <v>0</v>
      </c>
      <c r="Q861" s="50" t="str">
        <f>IF(P861=0,"",P861/$P844)</f>
        <v/>
      </c>
      <c r="R861" s="18"/>
    </row>
    <row r="862" spans="2:18" ht="15.75" customHeight="1" x14ac:dyDescent="0.2">
      <c r="B862" s="169"/>
      <c r="C862" s="31" t="s">
        <v>80</v>
      </c>
      <c r="D862" s="47">
        <f>VLOOKUP($B842,[1]Complaints!$A$4:$AJ$39,17,)</f>
        <v>0</v>
      </c>
      <c r="E862" s="48">
        <f>VLOOKUP($B842,[2]Complaints!$A$4:$AJ$39,17,)</f>
        <v>0</v>
      </c>
      <c r="F862" s="48">
        <f>VLOOKUP($B842,[3]Complaints!$A$4:$AJ$39,17,)</f>
        <v>0</v>
      </c>
      <c r="G862" s="48">
        <f>VLOOKUP($B842,[4]Complaints!$A$4:$AJ$39,17,)</f>
        <v>0</v>
      </c>
      <c r="H862" s="48">
        <f>VLOOKUP($B842,[5]Complaints!$A$4:$AJ$39,17,)</f>
        <v>0</v>
      </c>
      <c r="I862" s="48">
        <f>VLOOKUP($B842,[6]Complaints!$A$4:$AJ$39,17,)</f>
        <v>0</v>
      </c>
      <c r="J862" s="48">
        <f>VLOOKUP($B842,[7]Complaints!$A$4:$AJ$39,17,)</f>
        <v>0</v>
      </c>
      <c r="K862" s="48">
        <f>VLOOKUP($B842,[8]Complaints!$A$4:$AJ$39,17,)</f>
        <v>0</v>
      </c>
      <c r="L862" s="48">
        <f>VLOOKUP($B842,[9]Complaints!$A$4:$AJ$39,17,)</f>
        <v>0</v>
      </c>
      <c r="M862" s="48">
        <f>VLOOKUP($B842,[10]Complaints!$A$4:$AJ$39,17,)</f>
        <v>0</v>
      </c>
      <c r="N862" s="48">
        <f>VLOOKUP($B842,[11]Complaints!$A$4:$AJ$39,17,)</f>
        <v>0</v>
      </c>
      <c r="O862" s="49">
        <f>VLOOKUP($B842,[12]Complaints!$A$4:$AJ$39,17,)</f>
        <v>0</v>
      </c>
      <c r="P862" s="55">
        <f t="shared" si="226"/>
        <v>0</v>
      </c>
      <c r="Q862" s="50" t="str">
        <f>IF(P862=0,"",P862/$P844)</f>
        <v/>
      </c>
      <c r="R862" s="18"/>
    </row>
    <row r="863" spans="2:18" ht="15.75" customHeight="1" x14ac:dyDescent="0.2">
      <c r="B863" s="169"/>
      <c r="C863" s="31" t="s">
        <v>81</v>
      </c>
      <c r="D863" s="47">
        <f>VLOOKUP($B842,[1]Complaints!$A$4:$AJ$39,18,)</f>
        <v>0</v>
      </c>
      <c r="E863" s="48">
        <f>VLOOKUP($B842,[2]Complaints!$A$4:$AJ$39,18,)</f>
        <v>0</v>
      </c>
      <c r="F863" s="48">
        <f>VLOOKUP($B842,[3]Complaints!$A$4:$AJ$39,18,)</f>
        <v>0</v>
      </c>
      <c r="G863" s="48">
        <f>VLOOKUP($B842,[4]Complaints!$A$4:$AJ$39,18,)</f>
        <v>0</v>
      </c>
      <c r="H863" s="48">
        <f>VLOOKUP($B842,[5]Complaints!$A$4:$AJ$39,18,)</f>
        <v>0</v>
      </c>
      <c r="I863" s="48">
        <f>VLOOKUP($B842,[6]Complaints!$A$4:$AJ$39,18,)</f>
        <v>0</v>
      </c>
      <c r="J863" s="48">
        <f>VLOOKUP($B842,[7]Complaints!$A$4:$AJ$39,18,)</f>
        <v>0</v>
      </c>
      <c r="K863" s="48">
        <f>VLOOKUP($B842,[8]Complaints!$A$4:$AJ$39,18,)</f>
        <v>0</v>
      </c>
      <c r="L863" s="48">
        <f>VLOOKUP($B842,[9]Complaints!$A$4:$AJ$39,18,)</f>
        <v>0</v>
      </c>
      <c r="M863" s="48">
        <f>VLOOKUP($B842,[10]Complaints!$A$4:$AJ$39,18,)</f>
        <v>0</v>
      </c>
      <c r="N863" s="48">
        <f>VLOOKUP($B842,[11]Complaints!$A$4:$AJ$39,18,)</f>
        <v>0</v>
      </c>
      <c r="O863" s="49">
        <f>VLOOKUP($B842,[12]Complaints!$A$4:$AJ$39,18,)</f>
        <v>0</v>
      </c>
      <c r="P863" s="55">
        <f t="shared" si="226"/>
        <v>0</v>
      </c>
      <c r="Q863" s="50" t="str">
        <f>IF(P863=0,"",P863/$P844)</f>
        <v/>
      </c>
      <c r="R863" s="18"/>
    </row>
    <row r="864" spans="2:18" ht="15.75" customHeight="1" x14ac:dyDescent="0.2">
      <c r="B864" s="169"/>
      <c r="C864" s="31" t="s">
        <v>82</v>
      </c>
      <c r="D864" s="47">
        <f>VLOOKUP($B842,[1]Complaints!$A$4:$AJ$39,19,)</f>
        <v>0</v>
      </c>
      <c r="E864" s="48">
        <f>VLOOKUP($B842,[2]Complaints!$A$4:$AJ$39,19,)</f>
        <v>0</v>
      </c>
      <c r="F864" s="48">
        <f>VLOOKUP($B842,[3]Complaints!$A$4:$AJ$39,19,)</f>
        <v>0</v>
      </c>
      <c r="G864" s="48">
        <f>VLOOKUP($B842,[4]Complaints!$A$4:$AJ$39,19,)</f>
        <v>0</v>
      </c>
      <c r="H864" s="48">
        <f>VLOOKUP($B842,[5]Complaints!$A$4:$AJ$39,19,)</f>
        <v>0</v>
      </c>
      <c r="I864" s="48">
        <f>VLOOKUP($B842,[6]Complaints!$A$4:$AJ$39,19,)</f>
        <v>0</v>
      </c>
      <c r="J864" s="48">
        <f>VLOOKUP($B842,[7]Complaints!$A$4:$AJ$39,19,)</f>
        <v>0</v>
      </c>
      <c r="K864" s="48">
        <f>VLOOKUP($B842,[8]Complaints!$A$4:$AJ$39,19,)</f>
        <v>0</v>
      </c>
      <c r="L864" s="48">
        <f>VLOOKUP($B842,[9]Complaints!$A$4:$AJ$39,19,)</f>
        <v>0</v>
      </c>
      <c r="M864" s="48">
        <f>VLOOKUP($B842,[10]Complaints!$A$4:$AJ$39,19,)</f>
        <v>0</v>
      </c>
      <c r="N864" s="48">
        <f>VLOOKUP($B842,[11]Complaints!$A$4:$AJ$39,19,)</f>
        <v>0</v>
      </c>
      <c r="O864" s="49">
        <f>VLOOKUP($B842,[12]Complaints!$A$4:$AJ$39,19,)</f>
        <v>0</v>
      </c>
      <c r="P864" s="55">
        <f t="shared" si="226"/>
        <v>0</v>
      </c>
      <c r="Q864" s="50" t="str">
        <f>IF(P864=0,"",P864/$P844)</f>
        <v/>
      </c>
      <c r="R864" s="18"/>
    </row>
    <row r="865" spans="1:19" ht="15.75" customHeight="1" thickBot="1" x14ac:dyDescent="0.25">
      <c r="B865" s="170"/>
      <c r="C865" s="31" t="s">
        <v>83</v>
      </c>
      <c r="D865" s="47">
        <f>VLOOKUP($B842,[1]Complaints!$A$4:$AJ$39,20,)</f>
        <v>0</v>
      </c>
      <c r="E865" s="48">
        <f>VLOOKUP($B842,[2]Complaints!$A$4:$AJ$39,20,)</f>
        <v>0</v>
      </c>
      <c r="F865" s="48">
        <f>VLOOKUP($B842,[3]Complaints!$A$4:$AJ$39,20,)</f>
        <v>0</v>
      </c>
      <c r="G865" s="48">
        <f>VLOOKUP($B842,[4]Complaints!$A$4:$AJ$39,20,)</f>
        <v>0</v>
      </c>
      <c r="H865" s="48">
        <f>VLOOKUP($B842,[5]Complaints!$A$4:$AJ$39,20,)</f>
        <v>0</v>
      </c>
      <c r="I865" s="48">
        <f>VLOOKUP($B842,[6]Complaints!$A$4:$AJ$39,20,)</f>
        <v>0</v>
      </c>
      <c r="J865" s="48">
        <f>VLOOKUP($B842,[7]Complaints!$A$4:$AJ$39,20,)</f>
        <v>0</v>
      </c>
      <c r="K865" s="48">
        <f>VLOOKUP($B842,[8]Complaints!$A$4:$AJ$39,20,)</f>
        <v>0</v>
      </c>
      <c r="L865" s="48">
        <f>VLOOKUP($B842,[9]Complaints!$A$4:$AJ$39,20,)</f>
        <v>0</v>
      </c>
      <c r="M865" s="48">
        <f>VLOOKUP($B842,[10]Complaints!$A$4:$AJ$39,20,)</f>
        <v>0</v>
      </c>
      <c r="N865" s="48">
        <f>VLOOKUP($B842,[11]Complaints!$A$4:$AJ$39,20,)</f>
        <v>0</v>
      </c>
      <c r="O865" s="49">
        <f>VLOOKUP($B842,[12]Complaints!$A$4:$AJ$39,20,)</f>
        <v>0</v>
      </c>
      <c r="P865" s="55">
        <f t="shared" si="226"/>
        <v>0</v>
      </c>
      <c r="Q865" s="50" t="str">
        <f>IF(P865=0,"",P865/$P844)</f>
        <v/>
      </c>
      <c r="R865" s="18"/>
    </row>
    <row r="866" spans="1:19" ht="15.75" customHeight="1" x14ac:dyDescent="0.2">
      <c r="B866" s="144" t="s">
        <v>90</v>
      </c>
      <c r="C866" s="37" t="s">
        <v>118</v>
      </c>
      <c r="D866" s="62">
        <f>VLOOKUP($B842,[1]Complaints!$A$4:$AJ$39,21,)</f>
        <v>0</v>
      </c>
      <c r="E866" s="63">
        <f>VLOOKUP($B842,[2]Complaints!$A$4:$AJ$39,21,)</f>
        <v>0</v>
      </c>
      <c r="F866" s="63">
        <f>VLOOKUP($B842,[3]Complaints!$A$4:$AJ$39,21,)</f>
        <v>0</v>
      </c>
      <c r="G866" s="63">
        <f>VLOOKUP($B842,[4]Complaints!$A$4:$AJ$39,21,)</f>
        <v>2</v>
      </c>
      <c r="H866" s="63">
        <f>VLOOKUP($B842,[5]Complaints!$A$4:$AJ$39,21,)</f>
        <v>0</v>
      </c>
      <c r="I866" s="63">
        <f>VLOOKUP($B842,[6]Complaints!$A$4:$AJ$39,21,)</f>
        <v>0</v>
      </c>
      <c r="J866" s="63">
        <f>VLOOKUP($B842,[7]Complaints!$A$4:$AJ$39,21,)</f>
        <v>1</v>
      </c>
      <c r="K866" s="63">
        <f>VLOOKUP($B842,[8]Complaints!$A$4:$AJ$39,21,)</f>
        <v>1</v>
      </c>
      <c r="L866" s="63">
        <f>VLOOKUP($B842,[9]Complaints!$A$4:$AJ$39,21,)</f>
        <v>0</v>
      </c>
      <c r="M866" s="63">
        <f>VLOOKUP($B842,[10]Complaints!$A$4:$AJ$39,21,)</f>
        <v>0</v>
      </c>
      <c r="N866" s="63">
        <f>VLOOKUP($B842,[11]Complaints!$A$4:$AJ$39,21,)</f>
        <v>0</v>
      </c>
      <c r="O866" s="64">
        <f>VLOOKUP($B842,[12]Complaints!$A$4:$AJ$39,21,)</f>
        <v>0</v>
      </c>
      <c r="P866" s="65">
        <f>SUM(D866:O866)</f>
        <v>4</v>
      </c>
      <c r="Q866" s="46">
        <f>IF(P866=0,"",P866/$P850)</f>
        <v>1</v>
      </c>
      <c r="R866" s="18"/>
    </row>
    <row r="867" spans="1:19" ht="15.75" customHeight="1" x14ac:dyDescent="0.2">
      <c r="B867" s="145"/>
      <c r="C867" s="38" t="s">
        <v>77</v>
      </c>
      <c r="D867" s="66">
        <f>VLOOKUP($B842,[1]Complaints!$A$4:$AJ$39,22,)</f>
        <v>0</v>
      </c>
      <c r="E867" s="67">
        <f>VLOOKUP($B842,[2]Complaints!$A$4:$AJ$39,22,)</f>
        <v>0</v>
      </c>
      <c r="F867" s="67">
        <f>VLOOKUP($B842,[3]Complaints!$A$4:$AJ$39,22,)</f>
        <v>0</v>
      </c>
      <c r="G867" s="67">
        <f>VLOOKUP($B842,[4]Complaints!$A$4:$AJ$39,22,)</f>
        <v>0</v>
      </c>
      <c r="H867" s="67">
        <f>VLOOKUP($B842,[5]Complaints!$A$4:$AJ$39,22,)</f>
        <v>0</v>
      </c>
      <c r="I867" s="67">
        <f>VLOOKUP($B842,[6]Complaints!$A$4:$AJ$39,22,)</f>
        <v>0</v>
      </c>
      <c r="J867" s="67">
        <f>VLOOKUP($B842,[7]Complaints!$A$4:$AJ$39,22,)</f>
        <v>0</v>
      </c>
      <c r="K867" s="67">
        <f>VLOOKUP($B842,[8]Complaints!$A$4:$AJ$39,22,)</f>
        <v>0</v>
      </c>
      <c r="L867" s="67">
        <f>VLOOKUP($B842,[9]Complaints!$A$4:$AJ$39,22,)</f>
        <v>0</v>
      </c>
      <c r="M867" s="67">
        <f>VLOOKUP($B842,[10]Complaints!$A$4:$AJ$39,22,)</f>
        <v>0</v>
      </c>
      <c r="N867" s="67">
        <f>VLOOKUP($B842,[11]Complaints!$A$4:$AJ$39,22,)</f>
        <v>0</v>
      </c>
      <c r="O867" s="68">
        <f>VLOOKUP($B842,[12]Complaints!$A$4:$AJ$39,22,)</f>
        <v>0</v>
      </c>
      <c r="P867" s="69">
        <f t="shared" ref="P867:P881" si="227">SUM(D867:O867)</f>
        <v>0</v>
      </c>
      <c r="Q867" s="70" t="str">
        <f>IF(P867=0,"",P867/$P850)</f>
        <v/>
      </c>
      <c r="R867" s="18"/>
    </row>
    <row r="868" spans="1:19" ht="15.75" customHeight="1" x14ac:dyDescent="0.2">
      <c r="B868" s="145"/>
      <c r="C868" s="38" t="s">
        <v>108</v>
      </c>
      <c r="D868" s="66">
        <f>VLOOKUP($B842,[1]Complaints!$A$4:$AJ$39,23,)</f>
        <v>0</v>
      </c>
      <c r="E868" s="67">
        <f>VLOOKUP($B842,[2]Complaints!$A$4:$AJ$39,23,)</f>
        <v>0</v>
      </c>
      <c r="F868" s="67">
        <f>VLOOKUP($B842,[3]Complaints!$A$4:$AJ$39,23,)</f>
        <v>0</v>
      </c>
      <c r="G868" s="67">
        <f>VLOOKUP($B842,[4]Complaints!$A$4:$AJ$39,23,)</f>
        <v>2</v>
      </c>
      <c r="H868" s="67">
        <f>VLOOKUP($B842,[5]Complaints!$A$4:$AJ$39,23,)</f>
        <v>0</v>
      </c>
      <c r="I868" s="67">
        <f>VLOOKUP($B842,[6]Complaints!$A$4:$AJ$39,23,)</f>
        <v>0</v>
      </c>
      <c r="J868" s="67">
        <f>VLOOKUP($B842,[7]Complaints!$A$4:$AJ$39,23,)</f>
        <v>0</v>
      </c>
      <c r="K868" s="67">
        <f>VLOOKUP($B842,[8]Complaints!$A$4:$AJ$39,23,)</f>
        <v>0</v>
      </c>
      <c r="L868" s="67">
        <f>VLOOKUP($B842,[9]Complaints!$A$4:$AJ$39,23,)</f>
        <v>0</v>
      </c>
      <c r="M868" s="67">
        <f>VLOOKUP($B842,[10]Complaints!$A$4:$AJ$39,23,)</f>
        <v>0</v>
      </c>
      <c r="N868" s="67">
        <f>VLOOKUP($B842,[11]Complaints!$A$4:$AJ$39,23,)</f>
        <v>0</v>
      </c>
      <c r="O868" s="68">
        <f>VLOOKUP($B842,[12]Complaints!$A$4:$AJ$39,23,)</f>
        <v>0</v>
      </c>
      <c r="P868" s="69">
        <f t="shared" si="227"/>
        <v>2</v>
      </c>
      <c r="Q868" s="70">
        <f>IF(P868=0,"",P868/$P850)</f>
        <v>0.5</v>
      </c>
      <c r="R868" s="18"/>
    </row>
    <row r="869" spans="1:19" ht="15.75" customHeight="1" x14ac:dyDescent="0.2">
      <c r="B869" s="145"/>
      <c r="C869" s="38" t="s">
        <v>88</v>
      </c>
      <c r="D869" s="66">
        <f>VLOOKUP($B842,[1]Complaints!$A$4:$AJ$39,24,)</f>
        <v>0</v>
      </c>
      <c r="E869" s="67">
        <f>VLOOKUP($B842,[2]Complaints!$A$4:$AJ$39,24,)</f>
        <v>0</v>
      </c>
      <c r="F869" s="67">
        <f>VLOOKUP($B842,[3]Complaints!$A$4:$AJ$39,24,)</f>
        <v>0</v>
      </c>
      <c r="G869" s="67">
        <f>VLOOKUP($B842,[4]Complaints!$A$4:$AJ$39,24,)</f>
        <v>0</v>
      </c>
      <c r="H869" s="67">
        <f>VLOOKUP($B842,[5]Complaints!$A$4:$AJ$39,24,)</f>
        <v>0</v>
      </c>
      <c r="I869" s="67">
        <f>VLOOKUP($B842,[6]Complaints!$A$4:$AJ$39,24,)</f>
        <v>0</v>
      </c>
      <c r="J869" s="67">
        <f>VLOOKUP($B842,[7]Complaints!$A$4:$AJ$39,24,)</f>
        <v>0</v>
      </c>
      <c r="K869" s="67">
        <f>VLOOKUP($B842,[8]Complaints!$A$4:$AJ$39,24,)</f>
        <v>0</v>
      </c>
      <c r="L869" s="67">
        <f>VLOOKUP($B842,[9]Complaints!$A$4:$AJ$39,24,)</f>
        <v>0</v>
      </c>
      <c r="M869" s="67">
        <f>VLOOKUP($B842,[10]Complaints!$A$4:$AJ$39,24,)</f>
        <v>0</v>
      </c>
      <c r="N869" s="67">
        <f>VLOOKUP($B842,[11]Complaints!$A$4:$AJ$39,24,)</f>
        <v>0</v>
      </c>
      <c r="O869" s="68">
        <f>VLOOKUP($B842,[12]Complaints!$A$4:$AJ$39,24,)</f>
        <v>0</v>
      </c>
      <c r="P869" s="69">
        <f t="shared" si="227"/>
        <v>0</v>
      </c>
      <c r="Q869" s="70" t="str">
        <f>IF(P869=0,"",P869/$P850)</f>
        <v/>
      </c>
      <c r="R869" s="18"/>
    </row>
    <row r="870" spans="1:19" ht="15.75" customHeight="1" x14ac:dyDescent="0.2">
      <c r="B870" s="145"/>
      <c r="C870" s="38" t="s">
        <v>109</v>
      </c>
      <c r="D870" s="66">
        <f>VLOOKUP($B842,[1]Complaints!$A$4:$AJ$39,25,)</f>
        <v>0</v>
      </c>
      <c r="E870" s="67">
        <f>VLOOKUP($B842,[2]Complaints!$A$4:$AJ$39,25,)</f>
        <v>0</v>
      </c>
      <c r="F870" s="67">
        <f>VLOOKUP($B842,[3]Complaints!$A$4:$AJ$39,25,)</f>
        <v>0</v>
      </c>
      <c r="G870" s="67">
        <f>VLOOKUP($B842,[4]Complaints!$A$4:$AJ$39,25,)</f>
        <v>0</v>
      </c>
      <c r="H870" s="67">
        <f>VLOOKUP($B842,[5]Complaints!$A$4:$AJ$39,25,)</f>
        <v>0</v>
      </c>
      <c r="I870" s="67">
        <f>VLOOKUP($B842,[6]Complaints!$A$4:$AJ$39,25,)</f>
        <v>0</v>
      </c>
      <c r="J870" s="67">
        <f>VLOOKUP($B842,[7]Complaints!$A$4:$AJ$39,25,)</f>
        <v>0</v>
      </c>
      <c r="K870" s="67">
        <f>VLOOKUP($B842,[8]Complaints!$A$4:$AJ$39,25,)</f>
        <v>0</v>
      </c>
      <c r="L870" s="67">
        <f>VLOOKUP($B842,[9]Complaints!$A$4:$AJ$39,25,)</f>
        <v>0</v>
      </c>
      <c r="M870" s="67">
        <f>VLOOKUP($B842,[10]Complaints!$A$4:$AJ$39,25,)</f>
        <v>0</v>
      </c>
      <c r="N870" s="67">
        <f>VLOOKUP($B842,[11]Complaints!$A$4:$AJ$39,25,)</f>
        <v>0</v>
      </c>
      <c r="O870" s="68">
        <f>VLOOKUP($B842,[12]Complaints!$A$4:$AJ$39,25,)</f>
        <v>0</v>
      </c>
      <c r="P870" s="69">
        <f t="shared" si="227"/>
        <v>0</v>
      </c>
      <c r="Q870" s="70" t="str">
        <f>IF(P870=0,"",P870/$P850)</f>
        <v/>
      </c>
      <c r="R870" s="18"/>
    </row>
    <row r="871" spans="1:19" ht="15.75" customHeight="1" x14ac:dyDescent="0.2">
      <c r="A871" s="21"/>
      <c r="B871" s="145"/>
      <c r="C871" s="38" t="s">
        <v>110</v>
      </c>
      <c r="D871" s="66">
        <f>VLOOKUP($B842,[1]Complaints!$A$4:$AJ$39,26,)</f>
        <v>0</v>
      </c>
      <c r="E871" s="67">
        <f>VLOOKUP($B842,[2]Complaints!$A$4:$AJ$39,26,)</f>
        <v>0</v>
      </c>
      <c r="F871" s="67">
        <f>VLOOKUP($B842,[3]Complaints!$A$4:$AJ$39,26,)</f>
        <v>0</v>
      </c>
      <c r="G871" s="67">
        <f>VLOOKUP($B842,[4]Complaints!$A$4:$AJ$39,26,)</f>
        <v>0</v>
      </c>
      <c r="H871" s="67">
        <f>VLOOKUP($B842,[5]Complaints!$A$4:$AJ$39,26,)</f>
        <v>0</v>
      </c>
      <c r="I871" s="67">
        <f>VLOOKUP($B842,[6]Complaints!$A$4:$AJ$39,26,)</f>
        <v>0</v>
      </c>
      <c r="J871" s="67">
        <f>VLOOKUP($B842,[7]Complaints!$A$4:$AJ$39,26,)</f>
        <v>0</v>
      </c>
      <c r="K871" s="67">
        <f>VLOOKUP($B842,[8]Complaints!$A$4:$AJ$39,26,)</f>
        <v>0</v>
      </c>
      <c r="L871" s="67">
        <f>VLOOKUP($B842,[9]Complaints!$A$4:$AJ$39,26,)</f>
        <v>0</v>
      </c>
      <c r="M871" s="67">
        <f>VLOOKUP($B842,[10]Complaints!$A$4:$AJ$39,26,)</f>
        <v>0</v>
      </c>
      <c r="N871" s="67">
        <f>VLOOKUP($B842,[11]Complaints!$A$4:$AJ$39,26,)</f>
        <v>0</v>
      </c>
      <c r="O871" s="68">
        <f>VLOOKUP($B842,[12]Complaints!$A$4:$AJ$39,26,)</f>
        <v>0</v>
      </c>
      <c r="P871" s="69">
        <f t="shared" si="227"/>
        <v>0</v>
      </c>
      <c r="Q871" s="70" t="str">
        <f>IF(P871=0,"",P871/$P850)</f>
        <v/>
      </c>
      <c r="R871" s="18"/>
    </row>
    <row r="872" spans="1:19" s="21" customFormat="1" ht="15.75" customHeight="1" x14ac:dyDescent="0.2">
      <c r="B872" s="145"/>
      <c r="C872" s="39" t="s">
        <v>107</v>
      </c>
      <c r="D872" s="71">
        <f>VLOOKUP($B842,[1]Complaints!$A$4:$AJ$39,27,)</f>
        <v>0</v>
      </c>
      <c r="E872" s="72">
        <f>VLOOKUP($B842,[2]Complaints!$A$4:$AJ$39,27,)</f>
        <v>0</v>
      </c>
      <c r="F872" s="72">
        <f>VLOOKUP($B842,[3]Complaints!$A$4:$AJ$39,27,)</f>
        <v>0</v>
      </c>
      <c r="G872" s="72">
        <f>VLOOKUP($B842,[4]Complaints!$A$4:$AJ$39,27,)</f>
        <v>0</v>
      </c>
      <c r="H872" s="72">
        <f>VLOOKUP($B842,[5]Complaints!$A$4:$AJ$39,27,)</f>
        <v>0</v>
      </c>
      <c r="I872" s="72">
        <f>VLOOKUP($B842,[6]Complaints!$A$4:$AJ$39,27,)</f>
        <v>0</v>
      </c>
      <c r="J872" s="72">
        <f>VLOOKUP($B842,[7]Complaints!$A$4:$AJ$39,27,)</f>
        <v>1</v>
      </c>
      <c r="K872" s="72">
        <f>VLOOKUP($B842,[8]Complaints!$A$4:$AJ$39,27,)</f>
        <v>1</v>
      </c>
      <c r="L872" s="72">
        <f>VLOOKUP($B842,[9]Complaints!$A$4:$AJ$39,27,)</f>
        <v>0</v>
      </c>
      <c r="M872" s="72">
        <f>VLOOKUP($B842,[10]Complaints!$A$4:$AJ$39,27,)</f>
        <v>0</v>
      </c>
      <c r="N872" s="72">
        <f>VLOOKUP($B842,[11]Complaints!$A$4:$AJ$39,27,)</f>
        <v>0</v>
      </c>
      <c r="O872" s="73">
        <f>VLOOKUP($B842,[12]Complaints!$A$4:$AJ$39,27,)</f>
        <v>0</v>
      </c>
      <c r="P872" s="69">
        <f t="shared" si="227"/>
        <v>2</v>
      </c>
      <c r="Q872" s="70">
        <f>IF(P872=0,"",P872/$P850)</f>
        <v>0.5</v>
      </c>
      <c r="S872" s="18"/>
    </row>
    <row r="873" spans="1:19" ht="15.75" customHeight="1" x14ac:dyDescent="0.2">
      <c r="B873" s="145"/>
      <c r="C873" s="39" t="s">
        <v>87</v>
      </c>
      <c r="D873" s="71">
        <f>VLOOKUP($B842,[1]Complaints!$A$4:$AJ$39,28,)</f>
        <v>0</v>
      </c>
      <c r="E873" s="72">
        <f>VLOOKUP($B842,[2]Complaints!$A$4:$AJ$39,28,)</f>
        <v>0</v>
      </c>
      <c r="F873" s="72">
        <f>VLOOKUP($B842,[3]Complaints!$A$4:$AJ$39,28,)</f>
        <v>0</v>
      </c>
      <c r="G873" s="72">
        <f>VLOOKUP($B842,[4]Complaints!$A$4:$AJ$39,28,)</f>
        <v>0</v>
      </c>
      <c r="H873" s="72">
        <f>VLOOKUP($B842,[5]Complaints!$A$4:$AJ$39,28,)</f>
        <v>0</v>
      </c>
      <c r="I873" s="72">
        <f>VLOOKUP($B842,[6]Complaints!$A$4:$AJ$39,28,)</f>
        <v>0</v>
      </c>
      <c r="J873" s="72">
        <f>VLOOKUP($B842,[7]Complaints!$A$4:$AJ$39,28,)</f>
        <v>0</v>
      </c>
      <c r="K873" s="72">
        <f>VLOOKUP($B842,[8]Complaints!$A$4:$AJ$39,28,)</f>
        <v>0</v>
      </c>
      <c r="L873" s="72">
        <f>VLOOKUP($B842,[9]Complaints!$A$4:$AJ$39,28,)</f>
        <v>0</v>
      </c>
      <c r="M873" s="72">
        <f>VLOOKUP($B842,[10]Complaints!$A$4:$AJ$39,28,)</f>
        <v>0</v>
      </c>
      <c r="N873" s="72">
        <f>VLOOKUP($B842,[11]Complaints!$A$4:$AJ$39,28,)</f>
        <v>0</v>
      </c>
      <c r="O873" s="73">
        <f>VLOOKUP($B842,[12]Complaints!$A$4:$AJ$39,28,)</f>
        <v>0</v>
      </c>
      <c r="P873" s="69">
        <f t="shared" si="227"/>
        <v>0</v>
      </c>
      <c r="Q873" s="70" t="str">
        <f>IF(P873=0,"",P873/$P850)</f>
        <v/>
      </c>
      <c r="R873" s="18"/>
    </row>
    <row r="874" spans="1:19" ht="15.75" customHeight="1" x14ac:dyDescent="0.2">
      <c r="B874" s="145"/>
      <c r="C874" s="38" t="s">
        <v>111</v>
      </c>
      <c r="D874" s="66">
        <f>VLOOKUP($B842,[1]Complaints!$A$4:$AJ$39,29,)</f>
        <v>0</v>
      </c>
      <c r="E874" s="67">
        <f>VLOOKUP($B842,[2]Complaints!$A$4:$AJ$39,29,)</f>
        <v>0</v>
      </c>
      <c r="F874" s="67">
        <f>VLOOKUP($B842,[3]Complaints!$A$4:$AJ$39,29,)</f>
        <v>0</v>
      </c>
      <c r="G874" s="67">
        <f>VLOOKUP($B842,[4]Complaints!$A$4:$AJ$39,29,)</f>
        <v>0</v>
      </c>
      <c r="H874" s="67">
        <f>VLOOKUP($B842,[5]Complaints!$A$4:$AJ$39,29,)</f>
        <v>0</v>
      </c>
      <c r="I874" s="67">
        <f>VLOOKUP($B842,[6]Complaints!$A$4:$AJ$39,29,)</f>
        <v>0</v>
      </c>
      <c r="J874" s="67">
        <f>VLOOKUP($B842,[7]Complaints!$A$4:$AJ$39,29,)</f>
        <v>0</v>
      </c>
      <c r="K874" s="67">
        <f>VLOOKUP($B842,[8]Complaints!$A$4:$AJ$39,29,)</f>
        <v>0</v>
      </c>
      <c r="L874" s="67">
        <f>VLOOKUP($B842,[9]Complaints!$A$4:$AJ$39,29,)</f>
        <v>0</v>
      </c>
      <c r="M874" s="67">
        <f>VLOOKUP($B842,[10]Complaints!$A$4:$AJ$39,29,)</f>
        <v>0</v>
      </c>
      <c r="N874" s="67">
        <f>VLOOKUP($B842,[11]Complaints!$A$4:$AJ$39,29,)</f>
        <v>0</v>
      </c>
      <c r="O874" s="68">
        <f>VLOOKUP($B842,[12]Complaints!$A$4:$AJ$39,29,)</f>
        <v>0</v>
      </c>
      <c r="P874" s="69">
        <f t="shared" si="227"/>
        <v>0</v>
      </c>
      <c r="Q874" s="70" t="str">
        <f>IF(P874=0,"",P874/$P850)</f>
        <v/>
      </c>
      <c r="R874" s="18"/>
    </row>
    <row r="875" spans="1:19" ht="15.75" customHeight="1" x14ac:dyDescent="0.2">
      <c r="B875" s="145"/>
      <c r="C875" s="38" t="s">
        <v>112</v>
      </c>
      <c r="D875" s="66">
        <f>VLOOKUP($B842,[1]Complaints!$A$4:$AJ$39,30,)</f>
        <v>0</v>
      </c>
      <c r="E875" s="67">
        <f>VLOOKUP($B842,[2]Complaints!$A$4:$AJ$39,30,)</f>
        <v>0</v>
      </c>
      <c r="F875" s="67">
        <f>VLOOKUP($B842,[3]Complaints!$A$4:$AJ$39,30,)</f>
        <v>0</v>
      </c>
      <c r="G875" s="67">
        <f>VLOOKUP($B842,[4]Complaints!$A$4:$AJ$39,30,)</f>
        <v>0</v>
      </c>
      <c r="H875" s="67">
        <f>VLOOKUP($B842,[5]Complaints!$A$4:$AJ$39,30,)</f>
        <v>0</v>
      </c>
      <c r="I875" s="67">
        <f>VLOOKUP($B842,[6]Complaints!$A$4:$AJ$39,30,)</f>
        <v>0</v>
      </c>
      <c r="J875" s="67">
        <f>VLOOKUP($B842,[7]Complaints!$A$4:$AJ$39,30,)</f>
        <v>0</v>
      </c>
      <c r="K875" s="67">
        <f>VLOOKUP($B842,[8]Complaints!$A$4:$AJ$39,30,)</f>
        <v>0</v>
      </c>
      <c r="L875" s="67">
        <f>VLOOKUP($B842,[9]Complaints!$A$4:$AJ$39,30,)</f>
        <v>0</v>
      </c>
      <c r="M875" s="67">
        <f>VLOOKUP($B842,[10]Complaints!$A$4:$AJ$39,30,)</f>
        <v>0</v>
      </c>
      <c r="N875" s="67">
        <f>VLOOKUP($B842,[11]Complaints!$A$4:$AJ$39,30,)</f>
        <v>0</v>
      </c>
      <c r="O875" s="68">
        <f>VLOOKUP($B842,[12]Complaints!$A$4:$AJ$39,30,)</f>
        <v>0</v>
      </c>
      <c r="P875" s="69">
        <f t="shared" si="227"/>
        <v>0</v>
      </c>
      <c r="Q875" s="70" t="str">
        <f>IF(P875=0,"",P875/$P850)</f>
        <v/>
      </c>
      <c r="R875" s="18"/>
    </row>
    <row r="876" spans="1:19" ht="15.75" customHeight="1" x14ac:dyDescent="0.2">
      <c r="B876" s="146"/>
      <c r="C876" s="40" t="s">
        <v>119</v>
      </c>
      <c r="D876" s="74">
        <f>VLOOKUP($B842,[1]Complaints!$A$4:$AJ$39,31,)</f>
        <v>0</v>
      </c>
      <c r="E876" s="75">
        <f>VLOOKUP($B842,[2]Complaints!$A$4:$AJ$39,31,)</f>
        <v>0</v>
      </c>
      <c r="F876" s="75">
        <f>VLOOKUP($B842,[3]Complaints!$A$4:$AJ$39,31,)</f>
        <v>0</v>
      </c>
      <c r="G876" s="75">
        <f>VLOOKUP($B842,[4]Complaints!$A$4:$AJ$39,31,)</f>
        <v>0</v>
      </c>
      <c r="H876" s="75">
        <f>VLOOKUP($B842,[5]Complaints!$A$4:$AJ$39,31,)</f>
        <v>0</v>
      </c>
      <c r="I876" s="75">
        <f>VLOOKUP($B842,[6]Complaints!$A$4:$AJ$39,31,)</f>
        <v>0</v>
      </c>
      <c r="J876" s="75">
        <f>VLOOKUP($B842,[7]Complaints!$A$4:$AJ$39,31,)</f>
        <v>0</v>
      </c>
      <c r="K876" s="75">
        <f>VLOOKUP($B842,[8]Complaints!$A$4:$AJ$39,31,)</f>
        <v>0</v>
      </c>
      <c r="L876" s="75">
        <f>VLOOKUP($B842,[9]Complaints!$A$4:$AJ$39,31,)</f>
        <v>0</v>
      </c>
      <c r="M876" s="75">
        <f>VLOOKUP($B842,[10]Complaints!$A$4:$AJ$39,31,)</f>
        <v>0</v>
      </c>
      <c r="N876" s="75">
        <f>VLOOKUP($B842,[11]Complaints!$A$4:$AJ$39,31,)</f>
        <v>0</v>
      </c>
      <c r="O876" s="76">
        <f>VLOOKUP($B842,[12]Complaints!$A$4:$AJ$39,31,)</f>
        <v>0</v>
      </c>
      <c r="P876" s="77">
        <f t="shared" si="227"/>
        <v>0</v>
      </c>
      <c r="Q876" s="50" t="str">
        <f>IF(P876=0,"",P876/$P850)</f>
        <v/>
      </c>
      <c r="R876" s="18"/>
    </row>
    <row r="877" spans="1:19" ht="15.75" customHeight="1" x14ac:dyDescent="0.2">
      <c r="B877" s="146"/>
      <c r="C877" s="38" t="s">
        <v>113</v>
      </c>
      <c r="D877" s="66">
        <f>VLOOKUP($B842,[1]Complaints!$A$4:$AJ$39,32,)</f>
        <v>0</v>
      </c>
      <c r="E877" s="67">
        <f>VLOOKUP($B842,[2]Complaints!$A$4:$AJ$39,32,)</f>
        <v>0</v>
      </c>
      <c r="F877" s="67">
        <f>VLOOKUP($B842,[3]Complaints!$A$4:$AJ$39,32,)</f>
        <v>0</v>
      </c>
      <c r="G877" s="67">
        <f>VLOOKUP($B842,[4]Complaints!$A$4:$AJ$39,32,)</f>
        <v>0</v>
      </c>
      <c r="H877" s="67">
        <f>VLOOKUP($B842,[5]Complaints!$A$4:$AJ$39,32,)</f>
        <v>0</v>
      </c>
      <c r="I877" s="67">
        <f>VLOOKUP($B842,[6]Complaints!$A$4:$AJ$39,32,)</f>
        <v>0</v>
      </c>
      <c r="J877" s="67">
        <f>VLOOKUP($B842,[7]Complaints!$A$4:$AJ$39,32,)</f>
        <v>0</v>
      </c>
      <c r="K877" s="67">
        <f>VLOOKUP($B842,[8]Complaints!$A$4:$AJ$39,32,)</f>
        <v>0</v>
      </c>
      <c r="L877" s="67">
        <f>VLOOKUP($B842,[9]Complaints!$A$4:$AJ$39,32,)</f>
        <v>0</v>
      </c>
      <c r="M877" s="67">
        <f>VLOOKUP($B842,[10]Complaints!$A$4:$AJ$39,32,)</f>
        <v>0</v>
      </c>
      <c r="N877" s="67">
        <f>VLOOKUP($B842,[11]Complaints!$A$4:$AJ$39,32,)</f>
        <v>0</v>
      </c>
      <c r="O877" s="68">
        <f>VLOOKUP($B842,[12]Complaints!$A$4:$AJ$39,32,)</f>
        <v>0</v>
      </c>
      <c r="P877" s="69">
        <f t="shared" si="227"/>
        <v>0</v>
      </c>
      <c r="Q877" s="70" t="str">
        <f>IF(P877=0,"",P877/$P850)</f>
        <v/>
      </c>
      <c r="R877" s="18"/>
    </row>
    <row r="878" spans="1:19" ht="15.75" customHeight="1" x14ac:dyDescent="0.2">
      <c r="B878" s="146"/>
      <c r="C878" s="38" t="s">
        <v>114</v>
      </c>
      <c r="D878" s="66">
        <f>VLOOKUP($B842,[1]Complaints!$A$4:$AJ$39,33,)</f>
        <v>0</v>
      </c>
      <c r="E878" s="67">
        <f>VLOOKUP($B842,[2]Complaints!$A$4:$AJ$39,33,)</f>
        <v>0</v>
      </c>
      <c r="F878" s="67">
        <f>VLOOKUP($B842,[3]Complaints!$A$4:$AJ$39,33,)</f>
        <v>0</v>
      </c>
      <c r="G878" s="67">
        <f>VLOOKUP($B842,[4]Complaints!$A$4:$AJ$39,33,)</f>
        <v>0</v>
      </c>
      <c r="H878" s="67">
        <f>VLOOKUP($B842,[5]Complaints!$A$4:$AJ$39,33,)</f>
        <v>0</v>
      </c>
      <c r="I878" s="67">
        <f>VLOOKUP($B842,[6]Complaints!$A$4:$AJ$39,33,)</f>
        <v>0</v>
      </c>
      <c r="J878" s="67">
        <f>VLOOKUP($B842,[7]Complaints!$A$4:$AJ$39,33,)</f>
        <v>0</v>
      </c>
      <c r="K878" s="67">
        <f>VLOOKUP($B842,[8]Complaints!$A$4:$AJ$39,33,)</f>
        <v>0</v>
      </c>
      <c r="L878" s="67">
        <f>VLOOKUP($B842,[9]Complaints!$A$4:$AJ$39,33,)</f>
        <v>0</v>
      </c>
      <c r="M878" s="67">
        <f>VLOOKUP($B842,[10]Complaints!$A$4:$AJ$39,33,)</f>
        <v>0</v>
      </c>
      <c r="N878" s="67">
        <f>VLOOKUP($B842,[11]Complaints!$A$4:$AJ$39,33,)</f>
        <v>0</v>
      </c>
      <c r="O878" s="68">
        <f>VLOOKUP($B842,[12]Complaints!$A$4:$AJ$39,33,)</f>
        <v>0</v>
      </c>
      <c r="P878" s="69">
        <f t="shared" si="227"/>
        <v>0</v>
      </c>
      <c r="Q878" s="70" t="str">
        <f>IF(P878=0,"",P878/$P850)</f>
        <v/>
      </c>
      <c r="R878" s="18"/>
    </row>
    <row r="879" spans="1:19" ht="15.75" customHeight="1" x14ac:dyDescent="0.2">
      <c r="B879" s="146"/>
      <c r="C879" s="38" t="s">
        <v>115</v>
      </c>
      <c r="D879" s="66">
        <f>VLOOKUP($B842,[1]Complaints!$A$4:$AJ$39,34,)</f>
        <v>0</v>
      </c>
      <c r="E879" s="67">
        <f>VLOOKUP($B842,[2]Complaints!$A$4:$AJ$39,34,)</f>
        <v>0</v>
      </c>
      <c r="F879" s="67">
        <f>VLOOKUP($B842,[3]Complaints!$A$4:$AJ$39,34,)</f>
        <v>0</v>
      </c>
      <c r="G879" s="67">
        <f>VLOOKUP($B842,[4]Complaints!$A$4:$AJ$39,34,)</f>
        <v>0</v>
      </c>
      <c r="H879" s="67">
        <f>VLOOKUP($B842,[5]Complaints!$A$4:$AJ$39,34,)</f>
        <v>0</v>
      </c>
      <c r="I879" s="67">
        <f>VLOOKUP($B842,[6]Complaints!$A$4:$AJ$39,34,)</f>
        <v>0</v>
      </c>
      <c r="J879" s="67">
        <f>VLOOKUP($B842,[7]Complaints!$A$4:$AJ$39,34,)</f>
        <v>0</v>
      </c>
      <c r="K879" s="67">
        <f>VLOOKUP($B842,[8]Complaints!$A$4:$AJ$39,34,)</f>
        <v>0</v>
      </c>
      <c r="L879" s="67">
        <f>VLOOKUP($B842,[9]Complaints!$A$4:$AJ$39,34,)</f>
        <v>0</v>
      </c>
      <c r="M879" s="67">
        <f>VLOOKUP($B842,[10]Complaints!$A$4:$AJ$39,34,)</f>
        <v>0</v>
      </c>
      <c r="N879" s="67">
        <f>VLOOKUP($B842,[11]Complaints!$A$4:$AJ$39,34,)</f>
        <v>0</v>
      </c>
      <c r="O879" s="68">
        <f>VLOOKUP($B842,[12]Complaints!$A$4:$AJ$39,34,)</f>
        <v>0</v>
      </c>
      <c r="P879" s="69">
        <f t="shared" si="227"/>
        <v>0</v>
      </c>
      <c r="Q879" s="70" t="str">
        <f>IF(P879=0,"",P879/$P850)</f>
        <v/>
      </c>
      <c r="R879" s="18"/>
    </row>
    <row r="880" spans="1:19" ht="15.75" customHeight="1" x14ac:dyDescent="0.2">
      <c r="B880" s="146"/>
      <c r="C880" s="38" t="s">
        <v>116</v>
      </c>
      <c r="D880" s="66">
        <f>VLOOKUP($B842,[1]Complaints!$A$4:$AJ$39,35,)</f>
        <v>0</v>
      </c>
      <c r="E880" s="67">
        <f>VLOOKUP($B842,[2]Complaints!$A$4:$AJ$39,35,)</f>
        <v>0</v>
      </c>
      <c r="F880" s="67">
        <f>VLOOKUP($B842,[3]Complaints!$A$4:$AJ$39,35,)</f>
        <v>0</v>
      </c>
      <c r="G880" s="67">
        <f>VLOOKUP($B842,[4]Complaints!$A$4:$AJ$39,35,)</f>
        <v>0</v>
      </c>
      <c r="H880" s="67">
        <f>VLOOKUP($B842,[5]Complaints!$A$4:$AJ$39,35,)</f>
        <v>0</v>
      </c>
      <c r="I880" s="67">
        <f>VLOOKUP($B842,[6]Complaints!$A$4:$AJ$39,35,)</f>
        <v>0</v>
      </c>
      <c r="J880" s="67">
        <f>VLOOKUP($B842,[7]Complaints!$A$4:$AJ$39,35,)</f>
        <v>0</v>
      </c>
      <c r="K880" s="67">
        <f>VLOOKUP($B842,[8]Complaints!$A$4:$AJ$39,35,)</f>
        <v>0</v>
      </c>
      <c r="L880" s="67">
        <f>VLOOKUP($B842,[9]Complaints!$A$4:$AJ$39,35,)</f>
        <v>0</v>
      </c>
      <c r="M880" s="67">
        <f>VLOOKUP($B842,[10]Complaints!$A$4:$AJ$39,35,)</f>
        <v>0</v>
      </c>
      <c r="N880" s="67">
        <f>VLOOKUP($B842,[11]Complaints!$A$4:$AJ$39,35,)</f>
        <v>0</v>
      </c>
      <c r="O880" s="68">
        <f>VLOOKUP($B842,[12]Complaints!$A$4:$AJ$39,35,)</f>
        <v>0</v>
      </c>
      <c r="P880" s="69">
        <f t="shared" si="227"/>
        <v>0</v>
      </c>
      <c r="Q880" s="70" t="str">
        <f>IF(P880=0,"",P880/$P850)</f>
        <v/>
      </c>
      <c r="R880" s="18"/>
    </row>
    <row r="881" spans="2:19" ht="15.75" customHeight="1" thickBot="1" x14ac:dyDescent="0.25">
      <c r="B881" s="147"/>
      <c r="C881" s="41" t="s">
        <v>117</v>
      </c>
      <c r="D881" s="78">
        <f>VLOOKUP($B842,[1]Complaints!$A$4:$AJ$39,36,)</f>
        <v>0</v>
      </c>
      <c r="E881" s="79">
        <f>VLOOKUP($B842,[2]Complaints!$A$4:$AJ$39,36,)</f>
        <v>0</v>
      </c>
      <c r="F881" s="79">
        <f>VLOOKUP($B842,[3]Complaints!$A$4:$AJ$39,36,)</f>
        <v>0</v>
      </c>
      <c r="G881" s="79">
        <f>VLOOKUP($B842,[4]Complaints!$A$4:$AJ$39,36,)</f>
        <v>0</v>
      </c>
      <c r="H881" s="79">
        <f>VLOOKUP($B842,[5]Complaints!$A$4:$AJ$39,36,)</f>
        <v>0</v>
      </c>
      <c r="I881" s="79">
        <f>VLOOKUP($B842,[6]Complaints!$A$4:$AJ$39,36,)</f>
        <v>0</v>
      </c>
      <c r="J881" s="79">
        <f>VLOOKUP($B842,[7]Complaints!$A$4:$AJ$39,36,)</f>
        <v>0</v>
      </c>
      <c r="K881" s="79">
        <f>VLOOKUP($B842,[8]Complaints!$A$4:$AJ$39,36,)</f>
        <v>0</v>
      </c>
      <c r="L881" s="79">
        <f>VLOOKUP($B842,[9]Complaints!$A$4:$AJ$39,36,)</f>
        <v>0</v>
      </c>
      <c r="M881" s="79">
        <f>VLOOKUP($B842,[10]Complaints!$A$4:$AJ$39,36,)</f>
        <v>0</v>
      </c>
      <c r="N881" s="79">
        <f>VLOOKUP($B842,[11]Complaints!$A$4:$AJ$39,36,)</f>
        <v>0</v>
      </c>
      <c r="O881" s="80">
        <f>VLOOKUP($B842,[12]Complaints!$A$4:$AJ$39,36,)</f>
        <v>0</v>
      </c>
      <c r="P881" s="81">
        <f t="shared" si="227"/>
        <v>0</v>
      </c>
      <c r="Q881" s="82" t="str">
        <f>IF(P881=0,"",P881/$P850)</f>
        <v/>
      </c>
      <c r="R881" s="18"/>
    </row>
    <row r="882" spans="2:19" ht="15.75" customHeight="1" thickBot="1" x14ac:dyDescent="0.25">
      <c r="B882" s="19"/>
      <c r="C882" s="19"/>
      <c r="D882" s="83"/>
      <c r="E882" s="83"/>
      <c r="R882" s="18"/>
    </row>
    <row r="883" spans="2:19" s="19" customFormat="1" ht="15.75" customHeight="1" x14ac:dyDescent="0.25">
      <c r="B883" s="158" t="s">
        <v>28</v>
      </c>
      <c r="C883" s="159"/>
      <c r="D883" s="32" t="s">
        <v>0</v>
      </c>
      <c r="E883" s="20" t="s">
        <v>1</v>
      </c>
      <c r="F883" s="20" t="s">
        <v>2</v>
      </c>
      <c r="G883" s="20" t="s">
        <v>3</v>
      </c>
      <c r="H883" s="20" t="s">
        <v>4</v>
      </c>
      <c r="I883" s="20" t="s">
        <v>5</v>
      </c>
      <c r="J883" s="20" t="s">
        <v>6</v>
      </c>
      <c r="K883" s="20" t="s">
        <v>7</v>
      </c>
      <c r="L883" s="20" t="s">
        <v>8</v>
      </c>
      <c r="M883" s="20" t="s">
        <v>9</v>
      </c>
      <c r="N883" s="20" t="s">
        <v>10</v>
      </c>
      <c r="O883" s="33" t="s">
        <v>11</v>
      </c>
      <c r="P883" s="35" t="s">
        <v>12</v>
      </c>
      <c r="Q883" s="160" t="s">
        <v>104</v>
      </c>
      <c r="S883" s="18"/>
    </row>
    <row r="884" spans="2:19" ht="15.75" customHeight="1" thickBot="1" x14ac:dyDescent="0.3">
      <c r="B884" s="162" t="s">
        <v>55</v>
      </c>
      <c r="C884" s="163"/>
      <c r="D884" s="34">
        <v>2020</v>
      </c>
      <c r="E884" s="34">
        <v>2020</v>
      </c>
      <c r="F884" s="34">
        <v>2020</v>
      </c>
      <c r="G884" s="34">
        <v>2020</v>
      </c>
      <c r="H884" s="34">
        <v>2020</v>
      </c>
      <c r="I884" s="34">
        <v>2020</v>
      </c>
      <c r="J884" s="34">
        <v>2020</v>
      </c>
      <c r="K884" s="34">
        <v>2020</v>
      </c>
      <c r="L884" s="34">
        <v>2020</v>
      </c>
      <c r="M884" s="25">
        <v>2021</v>
      </c>
      <c r="N884" s="25">
        <v>2021</v>
      </c>
      <c r="O884" s="25">
        <v>2021</v>
      </c>
      <c r="P884" s="36" t="s">
        <v>122</v>
      </c>
      <c r="Q884" s="161"/>
      <c r="R884" s="18"/>
    </row>
    <row r="885" spans="2:19" ht="12.75" customHeight="1" thickBot="1" x14ac:dyDescent="0.25">
      <c r="B885" s="164" t="s">
        <v>38</v>
      </c>
      <c r="C885" s="165"/>
      <c r="D885" s="42">
        <f>VLOOKUP($B884,[1]Complaints!$A$4:$AJ$39,2,)</f>
        <v>304</v>
      </c>
      <c r="E885" s="43">
        <f>VLOOKUP($B884,[2]Complaints!$A$4:$AJ$39,2,)</f>
        <v>447</v>
      </c>
      <c r="F885" s="43">
        <f>VLOOKUP($B884,[3]Complaints!$A$4:$AJ$39,2)</f>
        <v>729</v>
      </c>
      <c r="G885" s="43">
        <f>VLOOKUP($B884,[4]Complaints!$A$4:$AJ$39,2)</f>
        <v>1163</v>
      </c>
      <c r="H885" s="43">
        <f>VLOOKUP($B884,[5]Complaints!$A$4:$AJ$39,2)</f>
        <v>1389</v>
      </c>
      <c r="I885" s="43">
        <f>VLOOKUP($B884,[6]Complaints!$A$4:$AJ$39,2)</f>
        <v>1686</v>
      </c>
      <c r="J885" s="43">
        <f>VLOOKUP($B884,[7]Complaints!$A$4:$AJ$39,2)</f>
        <v>1659</v>
      </c>
      <c r="K885" s="43">
        <f>VLOOKUP($B884,[8]Complaints!$A$4:$AJ$39,2)</f>
        <v>1659</v>
      </c>
      <c r="L885" s="43">
        <f>VLOOKUP($B884,[9]Complaints!$A$4:$AJ$39,2)</f>
        <v>1725</v>
      </c>
      <c r="M885" s="43">
        <f>VLOOKUP($B884,[10]Complaints!$A$4:$AJ$39,2)</f>
        <v>1194</v>
      </c>
      <c r="N885" s="43">
        <f>VLOOKUP($B884,[11]Complaints!$A$4:$AJ$39,2)</f>
        <v>0</v>
      </c>
      <c r="O885" s="44">
        <f>VLOOKUP($B884,[12]Complaints!$A$4:$AJ$39,2)</f>
        <v>0</v>
      </c>
      <c r="P885" s="45">
        <f>SUM(D885:O885)</f>
        <v>11955</v>
      </c>
      <c r="Q885" s="46"/>
      <c r="R885" s="18"/>
    </row>
    <row r="886" spans="2:19" ht="15.75" customHeight="1" x14ac:dyDescent="0.2">
      <c r="B886" s="166" t="s">
        <v>94</v>
      </c>
      <c r="C886" s="167"/>
      <c r="D886" s="47">
        <f>VLOOKUP($B884,[1]Complaints!$A$4:$AF$39,3,)</f>
        <v>0</v>
      </c>
      <c r="E886" s="48">
        <f>VLOOKUP($B884,[2]Complaints!$A$4:$AF$39,3,)</f>
        <v>0</v>
      </c>
      <c r="F886" s="48">
        <f>VLOOKUP($B884,[3]Complaints!$A$4:$AG$39,3,)</f>
        <v>0</v>
      </c>
      <c r="G886" s="48">
        <f>VLOOKUP($B884,[4]Complaints!$A$4:$AG$39,3,)</f>
        <v>1</v>
      </c>
      <c r="H886" s="48">
        <f>VLOOKUP($B884,[5]Complaints!$A$4:$AG$39,3,)</f>
        <v>0</v>
      </c>
      <c r="I886" s="48">
        <f>VLOOKUP($B884,[6]Complaints!$A$4:$AG$39,3,)</f>
        <v>2</v>
      </c>
      <c r="J886" s="48">
        <f>VLOOKUP($B884,[7]Complaints!$A$4:$AG$39,3,)</f>
        <v>0</v>
      </c>
      <c r="K886" s="48">
        <f>VLOOKUP($B884,[8]Complaints!$A$4:$AG$39,3,)</f>
        <v>0</v>
      </c>
      <c r="L886" s="48">
        <f>VLOOKUP($B884,[9]Complaints!$A$4:$AG$39,3,)</f>
        <v>1</v>
      </c>
      <c r="M886" s="48">
        <f>VLOOKUP($B884,[10]Complaints!$A$4:$AG$39,3,)</f>
        <v>1</v>
      </c>
      <c r="N886" s="48">
        <f>VLOOKUP($B884,[11]Complaints!$A$4:$AG$39,3,)</f>
        <v>0</v>
      </c>
      <c r="O886" s="49">
        <f>VLOOKUP($B884,[12]Complaints!$A$4:$AG$39,3,)</f>
        <v>0</v>
      </c>
      <c r="P886" s="45">
        <f>SUM(D886:O886)</f>
        <v>5</v>
      </c>
      <c r="Q886" s="50"/>
      <c r="R886" s="18"/>
    </row>
    <row r="887" spans="2:19" ht="15.75" customHeight="1" x14ac:dyDescent="0.2">
      <c r="B887" s="26"/>
      <c r="C887" s="28" t="s">
        <v>102</v>
      </c>
      <c r="D887" s="51">
        <f>IF(D885=0,"",D886/D885)</f>
        <v>0</v>
      </c>
      <c r="E887" s="52">
        <f t="shared" ref="E887:O887" si="228">IF(E885=0,"",E886/E885)</f>
        <v>0</v>
      </c>
      <c r="F887" s="52">
        <f t="shared" si="228"/>
        <v>0</v>
      </c>
      <c r="G887" s="52">
        <f t="shared" si="228"/>
        <v>8.598452278589854E-4</v>
      </c>
      <c r="H887" s="52">
        <f t="shared" si="228"/>
        <v>0</v>
      </c>
      <c r="I887" s="52">
        <f t="shared" si="228"/>
        <v>1.1862396204033216E-3</v>
      </c>
      <c r="J887" s="52">
        <f t="shared" si="228"/>
        <v>0</v>
      </c>
      <c r="K887" s="52">
        <f t="shared" si="228"/>
        <v>0</v>
      </c>
      <c r="L887" s="52">
        <f t="shared" si="228"/>
        <v>5.7971014492753622E-4</v>
      </c>
      <c r="M887" s="52">
        <f t="shared" si="228"/>
        <v>8.375209380234506E-4</v>
      </c>
      <c r="N887" s="52" t="str">
        <f t="shared" si="228"/>
        <v/>
      </c>
      <c r="O887" s="53" t="str">
        <f t="shared" si="228"/>
        <v/>
      </c>
      <c r="P887" s="54">
        <f>IF(P886="","",P886/P885)</f>
        <v>4.1823504809703052E-4</v>
      </c>
      <c r="Q887" s="50"/>
      <c r="R887" s="18"/>
    </row>
    <row r="888" spans="2:19" s="21" customFormat="1" ht="15.75" customHeight="1" x14ac:dyDescent="0.2">
      <c r="B888" s="155" t="s">
        <v>95</v>
      </c>
      <c r="C888" s="156"/>
      <c r="D888" s="47">
        <f>VLOOKUP($B884,[1]Complaints!$A$4:$AF$39,4,)</f>
        <v>0</v>
      </c>
      <c r="E888" s="48">
        <f>VLOOKUP($B884,[2]Complaints!$A$4:$AF$39,4,)</f>
        <v>0</v>
      </c>
      <c r="F888" s="48">
        <f>VLOOKUP($B884,[3]Complaints!$A$4:$AG$39,4,)</f>
        <v>0</v>
      </c>
      <c r="G888" s="48">
        <f>VLOOKUP($B884,[4]Complaints!$A$4:$AG$39,4,)</f>
        <v>0</v>
      </c>
      <c r="H888" s="48">
        <f>VLOOKUP($B884,[5]Complaints!$A$4:$AG$39,4,)</f>
        <v>0</v>
      </c>
      <c r="I888" s="48">
        <f>VLOOKUP($B884,[6]Complaints!$A$4:$AG$39,4,)</f>
        <v>0</v>
      </c>
      <c r="J888" s="48">
        <f>VLOOKUP($B884,[7]Complaints!$A$4:$AG$39,4,)</f>
        <v>0</v>
      </c>
      <c r="K888" s="48">
        <f>VLOOKUP($B884,[8]Complaints!$A$4:$AG$39,4,)</f>
        <v>0</v>
      </c>
      <c r="L888" s="48">
        <f>VLOOKUP($B884,[9]Complaints!$A$4:$AG$39,4,)</f>
        <v>0</v>
      </c>
      <c r="M888" s="48">
        <f>VLOOKUP($B884,[10]Complaints!$A$4:$AG$39,4,)</f>
        <v>1</v>
      </c>
      <c r="N888" s="48">
        <f>VLOOKUP($B884,[11]Complaints!$A$4:$AG$39,4,)</f>
        <v>0</v>
      </c>
      <c r="O888" s="49">
        <f>VLOOKUP($B884,[12]Complaints!$A$4:$AG$39,4,)</f>
        <v>0</v>
      </c>
      <c r="P888" s="55">
        <f t="shared" ref="P888" si="229">SUM(D888:O888)</f>
        <v>1</v>
      </c>
      <c r="Q888" s="50"/>
    </row>
    <row r="889" spans="2:19" ht="15.75" customHeight="1" x14ac:dyDescent="0.2">
      <c r="B889" s="26"/>
      <c r="C889" s="28" t="s">
        <v>98</v>
      </c>
      <c r="D889" s="51">
        <f>IF(D885=0,"",D888/D885)</f>
        <v>0</v>
      </c>
      <c r="E889" s="52">
        <f t="shared" ref="E889:O889" si="230">IF(E885=0,"",E888/E885)</f>
        <v>0</v>
      </c>
      <c r="F889" s="52">
        <f t="shared" si="230"/>
        <v>0</v>
      </c>
      <c r="G889" s="52">
        <f t="shared" si="230"/>
        <v>0</v>
      </c>
      <c r="H889" s="52">
        <f t="shared" si="230"/>
        <v>0</v>
      </c>
      <c r="I889" s="52">
        <f t="shared" si="230"/>
        <v>0</v>
      </c>
      <c r="J889" s="52">
        <f t="shared" si="230"/>
        <v>0</v>
      </c>
      <c r="K889" s="52">
        <f t="shared" si="230"/>
        <v>0</v>
      </c>
      <c r="L889" s="52">
        <f t="shared" si="230"/>
        <v>0</v>
      </c>
      <c r="M889" s="52">
        <f t="shared" si="230"/>
        <v>8.375209380234506E-4</v>
      </c>
      <c r="N889" s="52" t="str">
        <f t="shared" si="230"/>
        <v/>
      </c>
      <c r="O889" s="53" t="str">
        <f t="shared" si="230"/>
        <v/>
      </c>
      <c r="P889" s="54">
        <f>IF(P888="","",P888/P885)</f>
        <v>8.3647009619406109E-5</v>
      </c>
      <c r="Q889" s="50"/>
      <c r="R889" s="18"/>
    </row>
    <row r="890" spans="2:19" ht="15.75" customHeight="1" x14ac:dyDescent="0.2">
      <c r="B890" s="155" t="s">
        <v>96</v>
      </c>
      <c r="C890" s="156"/>
      <c r="D890" s="47">
        <f>VLOOKUP($B884,[1]Complaints!$A$4:$AF$39,5,)</f>
        <v>0</v>
      </c>
      <c r="E890" s="48">
        <f>VLOOKUP($B884,[2]Complaints!$A$4:$AF$39,5,)</f>
        <v>0</v>
      </c>
      <c r="F890" s="48">
        <f>VLOOKUP($B884,[3]Complaints!$A$4:$AG$39,5,)</f>
        <v>0</v>
      </c>
      <c r="G890" s="48">
        <f>VLOOKUP($B884,[4]Complaints!$A$4:$AG$39,5,)</f>
        <v>1</v>
      </c>
      <c r="H890" s="48">
        <f>VLOOKUP($B884,[5]Complaints!$A$4:$AG$39,5,)</f>
        <v>0</v>
      </c>
      <c r="I890" s="48">
        <f>VLOOKUP($B884,[6]Complaints!$A$4:$AG$39,5,)</f>
        <v>2</v>
      </c>
      <c r="J890" s="48">
        <f>VLOOKUP($B884,[7]Complaints!$A$4:$AG$39,5,)</f>
        <v>0</v>
      </c>
      <c r="K890" s="48">
        <f>VLOOKUP($B884,[8]Complaints!$A$4:$AG$39,5,)</f>
        <v>0</v>
      </c>
      <c r="L890" s="48">
        <f>VLOOKUP($B884,[9]Complaints!$A$4:$AG$39,5,)</f>
        <v>1</v>
      </c>
      <c r="M890" s="48">
        <f>VLOOKUP($B884,[10]Complaints!$A$4:$AG$39,5,)</f>
        <v>0</v>
      </c>
      <c r="N890" s="48">
        <f>VLOOKUP($B884,[11]Complaints!$A$4:$AG$39,5,)</f>
        <v>0</v>
      </c>
      <c r="O890" s="49">
        <f>VLOOKUP($B884,[12]Complaints!$A$4:$AG$39,5,)</f>
        <v>0</v>
      </c>
      <c r="P890" s="55">
        <f t="shared" ref="P890" si="231">SUM(D890:O890)</f>
        <v>4</v>
      </c>
      <c r="Q890" s="50"/>
      <c r="R890" s="18"/>
    </row>
    <row r="891" spans="2:19" ht="15.75" customHeight="1" x14ac:dyDescent="0.2">
      <c r="B891" s="26"/>
      <c r="C891" s="28" t="s">
        <v>99</v>
      </c>
      <c r="D891" s="51">
        <f>IF(D885=0,"",D890/D885)</f>
        <v>0</v>
      </c>
      <c r="E891" s="52">
        <f t="shared" ref="E891:O891" si="232">IF(E885=0,"",E890/E885)</f>
        <v>0</v>
      </c>
      <c r="F891" s="52">
        <f t="shared" si="232"/>
        <v>0</v>
      </c>
      <c r="G891" s="52">
        <f t="shared" si="232"/>
        <v>8.598452278589854E-4</v>
      </c>
      <c r="H891" s="52">
        <f t="shared" si="232"/>
        <v>0</v>
      </c>
      <c r="I891" s="52">
        <f t="shared" si="232"/>
        <v>1.1862396204033216E-3</v>
      </c>
      <c r="J891" s="52">
        <f t="shared" si="232"/>
        <v>0</v>
      </c>
      <c r="K891" s="52">
        <f t="shared" si="232"/>
        <v>0</v>
      </c>
      <c r="L891" s="52">
        <f t="shared" si="232"/>
        <v>5.7971014492753622E-4</v>
      </c>
      <c r="M891" s="52">
        <f t="shared" si="232"/>
        <v>0</v>
      </c>
      <c r="N891" s="52" t="str">
        <f t="shared" si="232"/>
        <v/>
      </c>
      <c r="O891" s="53" t="str">
        <f t="shared" si="232"/>
        <v/>
      </c>
      <c r="P891" s="54">
        <f>IF(P890="","",P890/P885)</f>
        <v>3.3458803847762444E-4</v>
      </c>
      <c r="Q891" s="50"/>
      <c r="R891" s="18"/>
    </row>
    <row r="892" spans="2:19" ht="15.75" customHeight="1" x14ac:dyDescent="0.2">
      <c r="B892" s="157" t="s">
        <v>97</v>
      </c>
      <c r="C892" s="156"/>
      <c r="D892" s="47">
        <f>VLOOKUP($B884,[1]Complaints!$A$4:$AF$39,6,)</f>
        <v>0</v>
      </c>
      <c r="E892" s="48">
        <f>VLOOKUP($B884,[2]Complaints!$A$4:$AF$39,6,)</f>
        <v>0</v>
      </c>
      <c r="F892" s="48">
        <f>VLOOKUP($B884,[3]Complaints!$A$4:$AG$39,6,)</f>
        <v>0</v>
      </c>
      <c r="G892" s="48">
        <f>VLOOKUP($B884,[4]Complaints!$A$4:$AG$39,6,)</f>
        <v>1</v>
      </c>
      <c r="H892" s="48">
        <f>VLOOKUP($B884,[5]Complaints!$A$4:$AG$39,6,)</f>
        <v>0</v>
      </c>
      <c r="I892" s="48">
        <f>VLOOKUP($B884,[6]Complaints!$A$4:$AG$39,6,)</f>
        <v>1</v>
      </c>
      <c r="J892" s="48">
        <f>VLOOKUP($B884,[7]Complaints!$A$4:$AG$39,6,)</f>
        <v>0</v>
      </c>
      <c r="K892" s="48">
        <f>VLOOKUP($B884,[8]Complaints!$A$4:$AG$39,6,)</f>
        <v>0</v>
      </c>
      <c r="L892" s="48">
        <f>VLOOKUP($B884,[9]Complaints!$A$4:$AG$39,6,)</f>
        <v>0</v>
      </c>
      <c r="M892" s="48">
        <f>VLOOKUP($B884,[10]Complaints!$A$4:$AG$39,6,)</f>
        <v>0</v>
      </c>
      <c r="N892" s="48">
        <f>VLOOKUP($B884,[11]Complaints!$A$4:$AG$39,6,)</f>
        <v>0</v>
      </c>
      <c r="O892" s="49">
        <f>VLOOKUP($B884,[12]Complaints!$A$4:$AG$39,6,)</f>
        <v>0</v>
      </c>
      <c r="P892" s="55">
        <f t="shared" ref="P892" si="233">SUM(D892:O892)</f>
        <v>2</v>
      </c>
      <c r="Q892" s="50"/>
      <c r="R892" s="18"/>
    </row>
    <row r="893" spans="2:19" ht="15.75" customHeight="1" thickBot="1" x14ac:dyDescent="0.25">
      <c r="B893" s="27"/>
      <c r="C893" s="29" t="s">
        <v>100</v>
      </c>
      <c r="D893" s="56" t="str">
        <f>IF(D892=0,"",D892/D890)</f>
        <v/>
      </c>
      <c r="E893" s="57" t="str">
        <f t="shared" ref="E893:H893" si="234">IF(E892=0,"",E892/E890)</f>
        <v/>
      </c>
      <c r="F893" s="57" t="str">
        <f t="shared" si="234"/>
        <v/>
      </c>
      <c r="G893" s="57">
        <f t="shared" si="234"/>
        <v>1</v>
      </c>
      <c r="H893" s="57" t="str">
        <f t="shared" si="234"/>
        <v/>
      </c>
      <c r="I893" s="57">
        <f>IF(I892=0,"",I892/I890)</f>
        <v>0.5</v>
      </c>
      <c r="J893" s="57" t="str">
        <f t="shared" ref="J893:O893" si="235">IF(J892=0,"",J892/J890)</f>
        <v/>
      </c>
      <c r="K893" s="57" t="str">
        <f t="shared" si="235"/>
        <v/>
      </c>
      <c r="L893" s="57" t="str">
        <f t="shared" si="235"/>
        <v/>
      </c>
      <c r="M893" s="57" t="str">
        <f t="shared" si="235"/>
        <v/>
      </c>
      <c r="N893" s="57" t="str">
        <f t="shared" si="235"/>
        <v/>
      </c>
      <c r="O893" s="58" t="str">
        <f t="shared" si="235"/>
        <v/>
      </c>
      <c r="P893" s="59">
        <f>IF(P892=0,"",P892/P890)</f>
        <v>0.5</v>
      </c>
      <c r="Q893" s="60"/>
      <c r="R893" s="18"/>
    </row>
    <row r="894" spans="2:19" ht="15.75" customHeight="1" x14ac:dyDescent="0.2">
      <c r="B894" s="168" t="s">
        <v>103</v>
      </c>
      <c r="C894" s="30" t="s">
        <v>77</v>
      </c>
      <c r="D894" s="61">
        <f>VLOOKUP($B884,[1]Complaints!$A$4:$AJ$39,7,)</f>
        <v>0</v>
      </c>
      <c r="E894" s="43">
        <f>VLOOKUP($B884,[2]Complaints!$A$4:$AJ$39,7,)</f>
        <v>0</v>
      </c>
      <c r="F894" s="43">
        <f>VLOOKUP($B884,[3]Complaints!$A$4:$AJ$39,7,)</f>
        <v>0</v>
      </c>
      <c r="G894" s="43">
        <f>VLOOKUP($B884,[4]Complaints!$A$4:$AJ$39,7,)</f>
        <v>0</v>
      </c>
      <c r="H894" s="43">
        <f>VLOOKUP($B884,[5]Complaints!$A$4:$AJ$39,7,)</f>
        <v>0</v>
      </c>
      <c r="I894" s="43">
        <f>VLOOKUP($B884,[6]Complaints!$A$4:$AJ$39,7,)</f>
        <v>0</v>
      </c>
      <c r="J894" s="43">
        <f>VLOOKUP($B884,[7]Complaints!$A$4:$AJ$39,7,)</f>
        <v>0</v>
      </c>
      <c r="K894" s="43">
        <f>VLOOKUP($B884,[8]Complaints!$A$4:$AJ$39,7,)</f>
        <v>0</v>
      </c>
      <c r="L894" s="43">
        <f>VLOOKUP($B884,[9]Complaints!$A$4:$AJ$39,7,)</f>
        <v>0</v>
      </c>
      <c r="M894" s="43">
        <f>VLOOKUP($B884,[10]Complaints!$A$4:$AJ$39,7,)</f>
        <v>0</v>
      </c>
      <c r="N894" s="43">
        <f>VLOOKUP($B884,[11]Complaints!$A$4:$AJ$39,7,)</f>
        <v>0</v>
      </c>
      <c r="O894" s="44">
        <f>VLOOKUP($B884,[12]Complaints!$A$4:$AJ$39,7,)</f>
        <v>0</v>
      </c>
      <c r="P894" s="45">
        <f>SUM(D894:O894)</f>
        <v>0</v>
      </c>
      <c r="Q894" s="46" t="str">
        <f>IF(P894=0,"",P894/$P886)</f>
        <v/>
      </c>
      <c r="R894" s="18"/>
    </row>
    <row r="895" spans="2:19" ht="15.75" customHeight="1" x14ac:dyDescent="0.2">
      <c r="B895" s="169"/>
      <c r="C895" s="31" t="s">
        <v>89</v>
      </c>
      <c r="D895" s="47">
        <f>VLOOKUP($B884,[1]Complaints!$A$4:$AJ$39,8,)</f>
        <v>0</v>
      </c>
      <c r="E895" s="48">
        <f>VLOOKUP($B884,[2]Complaints!$A$4:$AJ$39,8,)</f>
        <v>0</v>
      </c>
      <c r="F895" s="48">
        <f>VLOOKUP($B884,[3]Complaints!$A$4:$AJ$39,8,)</f>
        <v>0</v>
      </c>
      <c r="G895" s="48">
        <f>VLOOKUP($B884,[4]Complaints!$A$4:$AJ$39,8,)</f>
        <v>0</v>
      </c>
      <c r="H895" s="48">
        <f>VLOOKUP($B884,[5]Complaints!$A$4:$AJ$39,8,)</f>
        <v>0</v>
      </c>
      <c r="I895" s="48">
        <f>VLOOKUP($B884,[6]Complaints!$A$4:$AJ$39,8,)</f>
        <v>1</v>
      </c>
      <c r="J895" s="48">
        <f>VLOOKUP($B884,[7]Complaints!$A$4:$AJ$39,8,)</f>
        <v>0</v>
      </c>
      <c r="K895" s="48">
        <f>VLOOKUP($B884,[8]Complaints!$A$4:$AJ$39,8,)</f>
        <v>0</v>
      </c>
      <c r="L895" s="48">
        <f>VLOOKUP($B884,[9]Complaints!$A$4:$AJ$39,8,)</f>
        <v>1</v>
      </c>
      <c r="M895" s="48">
        <f>VLOOKUP($B884,[10]Complaints!$A$4:$AJ$39,8,)</f>
        <v>0</v>
      </c>
      <c r="N895" s="48">
        <f>VLOOKUP($B884,[11]Complaints!$A$4:$AJ$39,8,)</f>
        <v>0</v>
      </c>
      <c r="O895" s="49">
        <f>VLOOKUP($B884,[12]Complaints!$A$4:$AJ$39,8,)</f>
        <v>0</v>
      </c>
      <c r="P895" s="55">
        <f t="shared" ref="P895:P896" si="236">SUM(D895:O895)</f>
        <v>2</v>
      </c>
      <c r="Q895" s="50">
        <f>IF(P895="","",P895/$P886)</f>
        <v>0.4</v>
      </c>
      <c r="R895" s="18"/>
    </row>
    <row r="896" spans="2:19" ht="15.75" customHeight="1" x14ac:dyDescent="0.2">
      <c r="B896" s="169"/>
      <c r="C896" s="31" t="s">
        <v>88</v>
      </c>
      <c r="D896" s="47">
        <f>VLOOKUP($B884,[1]Complaints!$A$4:$AJ$39,9,)</f>
        <v>0</v>
      </c>
      <c r="E896" s="48">
        <f>VLOOKUP($B884,[2]Complaints!$A$4:$AJ$39,9,)</f>
        <v>0</v>
      </c>
      <c r="F896" s="48">
        <f>VLOOKUP($B884,[3]Complaints!$A$4:$AJ$39,9,)</f>
        <v>0</v>
      </c>
      <c r="G896" s="48">
        <f>VLOOKUP($B884,[4]Complaints!$A$4:$AJ$39,9,)</f>
        <v>0</v>
      </c>
      <c r="H896" s="48">
        <f>VLOOKUP($B884,[5]Complaints!$A$4:$AJ$39,9,)</f>
        <v>0</v>
      </c>
      <c r="I896" s="48">
        <f>VLOOKUP($B884,[6]Complaints!$A$4:$AJ$39,9,)</f>
        <v>0</v>
      </c>
      <c r="J896" s="48">
        <f>VLOOKUP($B884,[7]Complaints!$A$4:$AJ$39,9,)</f>
        <v>0</v>
      </c>
      <c r="K896" s="48">
        <f>VLOOKUP($B884,[8]Complaints!$A$4:$AJ$39,9,)</f>
        <v>0</v>
      </c>
      <c r="L896" s="48">
        <f>VLOOKUP($B884,[9]Complaints!$A$4:$AJ$39,9,)</f>
        <v>0</v>
      </c>
      <c r="M896" s="48">
        <f>VLOOKUP($B884,[10]Complaints!$A$4:$AJ$39,9,)</f>
        <v>0</v>
      </c>
      <c r="N896" s="48">
        <f>VLOOKUP($B884,[11]Complaints!$A$4:$AJ$39,9,)</f>
        <v>0</v>
      </c>
      <c r="O896" s="49">
        <f>VLOOKUP($B884,[12]Complaints!$A$4:$AJ$39,9,)</f>
        <v>0</v>
      </c>
      <c r="P896" s="55">
        <f t="shared" si="236"/>
        <v>0</v>
      </c>
      <c r="Q896" s="50" t="str">
        <f>IF(P896=0,"",P896/$P886)</f>
        <v/>
      </c>
      <c r="R896" s="18"/>
    </row>
    <row r="897" spans="2:18" ht="15.75" customHeight="1" x14ac:dyDescent="0.2">
      <c r="B897" s="169"/>
      <c r="C897" s="31" t="s">
        <v>13</v>
      </c>
      <c r="D897" s="47">
        <f>VLOOKUP($B884,[1]Complaints!$A$4:$AJ$39,10,)</f>
        <v>0</v>
      </c>
      <c r="E897" s="48">
        <f>VLOOKUP($B884,[2]Complaints!$A$4:$AJ$39,10,)</f>
        <v>0</v>
      </c>
      <c r="F897" s="48">
        <f>VLOOKUP($B884,[3]Complaints!$A$4:$AJ$39,10,)</f>
        <v>0</v>
      </c>
      <c r="G897" s="48">
        <f>VLOOKUP($B884,[4]Complaints!$A$4:$AJ$39,10,)</f>
        <v>0</v>
      </c>
      <c r="H897" s="48">
        <f>VLOOKUP($B884,[5]Complaints!$A$4:$AJ$39,10,)</f>
        <v>0</v>
      </c>
      <c r="I897" s="48">
        <f>VLOOKUP($B884,[6]Complaints!$A$4:$AJ$39,10,)</f>
        <v>0</v>
      </c>
      <c r="J897" s="48">
        <f>VLOOKUP($B884,[7]Complaints!$A$4:$AJ$39,10,)</f>
        <v>0</v>
      </c>
      <c r="K897" s="48">
        <f>VLOOKUP($B884,[8]Complaints!$A$4:$AJ$39,10,)</f>
        <v>0</v>
      </c>
      <c r="L897" s="48">
        <f>VLOOKUP($B884,[9]Complaints!$A$4:$AJ$39,10,)</f>
        <v>0</v>
      </c>
      <c r="M897" s="48">
        <f>VLOOKUP($B884,[10]Complaints!$A$4:$AJ$39,10,)</f>
        <v>0</v>
      </c>
      <c r="N897" s="48">
        <f>VLOOKUP($B884,[11]Complaints!$A$4:$AJ$39,10,)</f>
        <v>0</v>
      </c>
      <c r="O897" s="49">
        <f>VLOOKUP($B884,[12]Complaints!$A$4:$AJ$39,10,)</f>
        <v>0</v>
      </c>
      <c r="P897" s="55">
        <f>SUM(D897:O897)</f>
        <v>0</v>
      </c>
      <c r="Q897" s="50" t="str">
        <f>IF(P897=0,"",P897/$P886)</f>
        <v/>
      </c>
      <c r="R897" s="18"/>
    </row>
    <row r="898" spans="2:18" ht="15.75" customHeight="1" x14ac:dyDescent="0.2">
      <c r="B898" s="169"/>
      <c r="C898" s="31" t="s">
        <v>101</v>
      </c>
      <c r="D898" s="47">
        <f>VLOOKUP($B884,[1]Complaints!$A$4:$AJ$39,11,)</f>
        <v>0</v>
      </c>
      <c r="E898" s="48">
        <f>VLOOKUP($B884,[2]Complaints!$A$4:$AJ$39,11,)</f>
        <v>0</v>
      </c>
      <c r="F898" s="48">
        <f>VLOOKUP($B884,[3]Complaints!$A$4:$AJ$39,11,)</f>
        <v>0</v>
      </c>
      <c r="G898" s="48">
        <f>VLOOKUP($B884,[4]Complaints!$A$4:$AJ$39,11,)</f>
        <v>0</v>
      </c>
      <c r="H898" s="48">
        <f>VLOOKUP($B884,[5]Complaints!$A$4:$AJ$39,11,)</f>
        <v>0</v>
      </c>
      <c r="I898" s="48">
        <f>VLOOKUP($B884,[6]Complaints!$A$4:$AJ$39,11,)</f>
        <v>1</v>
      </c>
      <c r="J898" s="48">
        <f>VLOOKUP($B884,[7]Complaints!$A$4:$AJ$39,11,)</f>
        <v>0</v>
      </c>
      <c r="K898" s="48">
        <f>VLOOKUP($B884,[8]Complaints!$A$4:$AJ$39,11,)</f>
        <v>0</v>
      </c>
      <c r="L898" s="48">
        <f>VLOOKUP($B884,[9]Complaints!$A$4:$AJ$39,11,)</f>
        <v>0</v>
      </c>
      <c r="M898" s="48">
        <f>VLOOKUP($B884,[10]Complaints!$A$4:$AJ$39,11,)</f>
        <v>0</v>
      </c>
      <c r="N898" s="48">
        <f>VLOOKUP($B884,[11]Complaints!$A$4:$AJ$39,11,)</f>
        <v>0</v>
      </c>
      <c r="O898" s="49">
        <f>VLOOKUP($B884,[12]Complaints!$A$4:$AJ$39,11,)</f>
        <v>0</v>
      </c>
      <c r="P898" s="55">
        <f t="shared" ref="P898:P907" si="237">SUM(D898:O898)</f>
        <v>1</v>
      </c>
      <c r="Q898" s="50">
        <f>IF(P898=0,"",P898/$P886)</f>
        <v>0.2</v>
      </c>
      <c r="R898" s="18"/>
    </row>
    <row r="899" spans="2:18" s="19" customFormat="1" ht="15.75" customHeight="1" x14ac:dyDescent="0.2">
      <c r="B899" s="169"/>
      <c r="C899" s="31" t="s">
        <v>93</v>
      </c>
      <c r="D899" s="47">
        <f>VLOOKUP($B884,[1]Complaints!$A$4:$AJ$39,12,)</f>
        <v>0</v>
      </c>
      <c r="E899" s="48">
        <f>VLOOKUP($B884,[2]Complaints!$A$4:$AJ$39,12,)</f>
        <v>0</v>
      </c>
      <c r="F899" s="48">
        <f>VLOOKUP($B884,[3]Complaints!$A$4:$AJ$39,12,)</f>
        <v>0</v>
      </c>
      <c r="G899" s="48">
        <f>VLOOKUP($B884,[4]Complaints!$A$4:$AJ$39,12,)</f>
        <v>1</v>
      </c>
      <c r="H899" s="48">
        <f>VLOOKUP($B884,[5]Complaints!$A$4:$AJ$39,12,)</f>
        <v>0</v>
      </c>
      <c r="I899" s="48">
        <f>VLOOKUP($B884,[6]Complaints!$A$4:$AJ$39,12,)</f>
        <v>0</v>
      </c>
      <c r="J899" s="48">
        <f>VLOOKUP($B884,[7]Complaints!$A$4:$AJ$39,12,)</f>
        <v>0</v>
      </c>
      <c r="K899" s="48">
        <f>VLOOKUP($B884,[8]Complaints!$A$4:$AJ$39,12,)</f>
        <v>0</v>
      </c>
      <c r="L899" s="48">
        <f>VLOOKUP($B884,[9]Complaints!$A$4:$AJ$39,12,)</f>
        <v>0</v>
      </c>
      <c r="M899" s="48">
        <f>VLOOKUP($B884,[10]Complaints!$A$4:$AJ$39,12,)</f>
        <v>0</v>
      </c>
      <c r="N899" s="48">
        <f>VLOOKUP($B884,[11]Complaints!$A$4:$AJ$39,12,)</f>
        <v>0</v>
      </c>
      <c r="O899" s="49">
        <f>VLOOKUP($B884,[12]Complaints!$A$4:$AJ$39,12,)</f>
        <v>0</v>
      </c>
      <c r="P899" s="55">
        <f t="shared" si="237"/>
        <v>1</v>
      </c>
      <c r="Q899" s="50">
        <f>IF(P899=0,"",P899/$P886)</f>
        <v>0.2</v>
      </c>
    </row>
    <row r="900" spans="2:18" ht="15.75" customHeight="1" x14ac:dyDescent="0.2">
      <c r="B900" s="169"/>
      <c r="C900" s="31" t="s">
        <v>78</v>
      </c>
      <c r="D900" s="47">
        <f>VLOOKUP($B884,[1]Complaints!$A$4:$AJ$39,13,)</f>
        <v>0</v>
      </c>
      <c r="E900" s="48">
        <f>VLOOKUP($B884,[2]Complaints!$A$4:$AJ$39,13,)</f>
        <v>0</v>
      </c>
      <c r="F900" s="48">
        <f>VLOOKUP($B884,[3]Complaints!$A$4:$AJ$39,13,)</f>
        <v>0</v>
      </c>
      <c r="G900" s="48">
        <f>VLOOKUP($B884,[4]Complaints!$A$4:$AJ$39,13,)</f>
        <v>0</v>
      </c>
      <c r="H900" s="48">
        <f>VLOOKUP($B884,[5]Complaints!$A$4:$AJ$39,13,)</f>
        <v>0</v>
      </c>
      <c r="I900" s="48">
        <f>VLOOKUP($B884,[6]Complaints!$A$4:$AJ$39,13,)</f>
        <v>0</v>
      </c>
      <c r="J900" s="48">
        <f>VLOOKUP($B884,[7]Complaints!$A$4:$AJ$39,13,)</f>
        <v>0</v>
      </c>
      <c r="K900" s="48">
        <f>VLOOKUP($B884,[8]Complaints!$A$4:$AJ$39,13,)</f>
        <v>0</v>
      </c>
      <c r="L900" s="48">
        <f>VLOOKUP($B884,[9]Complaints!$A$4:$AJ$39,13,)</f>
        <v>0</v>
      </c>
      <c r="M900" s="48">
        <f>VLOOKUP($B884,[10]Complaints!$A$4:$AJ$39,13,)</f>
        <v>0</v>
      </c>
      <c r="N900" s="48">
        <f>VLOOKUP($B884,[11]Complaints!$A$4:$AJ$39,13,)</f>
        <v>0</v>
      </c>
      <c r="O900" s="49">
        <f>VLOOKUP($B884,[12]Complaints!$A$4:$AJ$39,13,)</f>
        <v>0</v>
      </c>
      <c r="P900" s="55">
        <f t="shared" si="237"/>
        <v>0</v>
      </c>
      <c r="Q900" s="50" t="str">
        <f>IF(P900=0,"",P900/$P886)</f>
        <v/>
      </c>
      <c r="R900" s="18"/>
    </row>
    <row r="901" spans="2:18" ht="15.75" customHeight="1" x14ac:dyDescent="0.2">
      <c r="B901" s="169"/>
      <c r="C901" s="31" t="s">
        <v>92</v>
      </c>
      <c r="D901" s="47">
        <f>VLOOKUP($B884,[1]Complaints!$A$4:$AJ$39,14,)</f>
        <v>0</v>
      </c>
      <c r="E901" s="48">
        <f>VLOOKUP($B884,[2]Complaints!$A$4:$AJ$39,14,)</f>
        <v>0</v>
      </c>
      <c r="F901" s="48">
        <f>VLOOKUP($B884,[3]Complaints!$A$4:$AJ$39,14,)</f>
        <v>0</v>
      </c>
      <c r="G901" s="48">
        <f>VLOOKUP($B884,[4]Complaints!$A$4:$AJ$39,14,)</f>
        <v>0</v>
      </c>
      <c r="H901" s="48">
        <f>VLOOKUP($B884,[5]Complaints!$A$4:$AJ$39,14,)</f>
        <v>0</v>
      </c>
      <c r="I901" s="48">
        <f>VLOOKUP($B884,[6]Complaints!$A$4:$AJ$39,14,)</f>
        <v>0</v>
      </c>
      <c r="J901" s="48">
        <f>VLOOKUP($B884,[7]Complaints!$A$4:$AJ$39,14,)</f>
        <v>0</v>
      </c>
      <c r="K901" s="48">
        <f>VLOOKUP($B884,[8]Complaints!$A$4:$AJ$39,14,)</f>
        <v>0</v>
      </c>
      <c r="L901" s="48">
        <f>VLOOKUP($B884,[9]Complaints!$A$4:$AJ$39,14,)</f>
        <v>0</v>
      </c>
      <c r="M901" s="48">
        <f>VLOOKUP($B884,[10]Complaints!$A$4:$AJ$39,14,)</f>
        <v>0</v>
      </c>
      <c r="N901" s="48">
        <f>VLOOKUP($B884,[11]Complaints!$A$4:$AJ$39,14,)</f>
        <v>0</v>
      </c>
      <c r="O901" s="49">
        <f>VLOOKUP($B884,[12]Complaints!$A$4:$AJ$39,14,)</f>
        <v>0</v>
      </c>
      <c r="P901" s="55">
        <f t="shared" si="237"/>
        <v>0</v>
      </c>
      <c r="Q901" s="50" t="str">
        <f>IF(P901=0,"",P901/$P886)</f>
        <v/>
      </c>
      <c r="R901" s="18"/>
    </row>
    <row r="902" spans="2:18" ht="15.75" customHeight="1" x14ac:dyDescent="0.2">
      <c r="B902" s="169"/>
      <c r="C902" s="31" t="s">
        <v>91</v>
      </c>
      <c r="D902" s="47">
        <f>VLOOKUP($B884,[1]Complaints!$A$4:$AJ$39,15,)</f>
        <v>0</v>
      </c>
      <c r="E902" s="48">
        <f>VLOOKUP($B884,[2]Complaints!$A$4:$AJ$39,15,)</f>
        <v>0</v>
      </c>
      <c r="F902" s="48">
        <f>VLOOKUP($B884,[3]Complaints!$A$4:$AJ$39,15,)</f>
        <v>0</v>
      </c>
      <c r="G902" s="48">
        <f>VLOOKUP($B884,[4]Complaints!$A$4:$AJ$39,15,)</f>
        <v>0</v>
      </c>
      <c r="H902" s="48">
        <f>VLOOKUP($B884,[5]Complaints!$A$4:$AJ$39,15,)</f>
        <v>0</v>
      </c>
      <c r="I902" s="48">
        <f>VLOOKUP($B884,[6]Complaints!$A$4:$AJ$39,15,)</f>
        <v>0</v>
      </c>
      <c r="J902" s="48">
        <f>VLOOKUP($B884,[7]Complaints!$A$4:$AJ$39,15,)</f>
        <v>0</v>
      </c>
      <c r="K902" s="48">
        <f>VLOOKUP($B884,[8]Complaints!$A$4:$AJ$39,15,)</f>
        <v>0</v>
      </c>
      <c r="L902" s="48">
        <f>VLOOKUP($B884,[9]Complaints!$A$4:$AJ$39,15,)</f>
        <v>0</v>
      </c>
      <c r="M902" s="48">
        <f>VLOOKUP($B884,[10]Complaints!$A$4:$AJ$39,15,)</f>
        <v>0</v>
      </c>
      <c r="N902" s="48">
        <f>VLOOKUP($B884,[11]Complaints!$A$4:$AJ$39,15,)</f>
        <v>0</v>
      </c>
      <c r="O902" s="49">
        <f>VLOOKUP($B884,[12]Complaints!$A$4:$AJ$39,15,)</f>
        <v>0</v>
      </c>
      <c r="P902" s="55">
        <f t="shared" si="237"/>
        <v>0</v>
      </c>
      <c r="Q902" s="50" t="str">
        <f>IF(P902=0,"",P902/$P886)</f>
        <v/>
      </c>
      <c r="R902" s="18"/>
    </row>
    <row r="903" spans="2:18" ht="15.75" customHeight="1" x14ac:dyDescent="0.2">
      <c r="B903" s="169"/>
      <c r="C903" s="31" t="s">
        <v>79</v>
      </c>
      <c r="D903" s="47">
        <f>VLOOKUP($B884,[1]Complaints!$A$4:$AJ$39,16,)</f>
        <v>0</v>
      </c>
      <c r="E903" s="48">
        <f>VLOOKUP($B884,[2]Complaints!$A$4:$AJ$39,16,)</f>
        <v>0</v>
      </c>
      <c r="F903" s="48">
        <f>VLOOKUP($B884,[3]Complaints!$A$4:$AJ$39,16,)</f>
        <v>0</v>
      </c>
      <c r="G903" s="48">
        <f>VLOOKUP($B884,[4]Complaints!$A$4:$AJ$39,16,)</f>
        <v>0</v>
      </c>
      <c r="H903" s="48">
        <f>VLOOKUP($B884,[5]Complaints!$A$4:$AJ$39,16,)</f>
        <v>0</v>
      </c>
      <c r="I903" s="48">
        <f>VLOOKUP($B884,[6]Complaints!$A$4:$AJ$39,16,)</f>
        <v>0</v>
      </c>
      <c r="J903" s="48">
        <f>VLOOKUP($B884,[7]Complaints!$A$4:$AJ$39,16,)</f>
        <v>0</v>
      </c>
      <c r="K903" s="48">
        <f>VLOOKUP($B884,[8]Complaints!$A$4:$AJ$39,16,)</f>
        <v>0</v>
      </c>
      <c r="L903" s="48">
        <f>VLOOKUP($B884,[9]Complaints!$A$4:$AJ$39,16,)</f>
        <v>0</v>
      </c>
      <c r="M903" s="48">
        <f>VLOOKUP($B884,[10]Complaints!$A$4:$AJ$39,16,)</f>
        <v>0</v>
      </c>
      <c r="N903" s="48">
        <f>VLOOKUP($B884,[11]Complaints!$A$4:$AJ$39,16,)</f>
        <v>0</v>
      </c>
      <c r="O903" s="49">
        <f>VLOOKUP($B884,[12]Complaints!$A$4:$AJ$39,16,)</f>
        <v>0</v>
      </c>
      <c r="P903" s="55">
        <f t="shared" si="237"/>
        <v>0</v>
      </c>
      <c r="Q903" s="50" t="str">
        <f>IF(P903=0,"",P903/$P886)</f>
        <v/>
      </c>
      <c r="R903" s="18"/>
    </row>
    <row r="904" spans="2:18" ht="15.75" customHeight="1" x14ac:dyDescent="0.2">
      <c r="B904" s="169"/>
      <c r="C904" s="31" t="s">
        <v>80</v>
      </c>
      <c r="D904" s="47">
        <f>VLOOKUP($B884,[1]Complaints!$A$4:$AJ$39,17,)</f>
        <v>0</v>
      </c>
      <c r="E904" s="48">
        <f>VLOOKUP($B884,[2]Complaints!$A$4:$AJ$39,17,)</f>
        <v>0</v>
      </c>
      <c r="F904" s="48">
        <f>VLOOKUP($B884,[3]Complaints!$A$4:$AJ$39,17,)</f>
        <v>0</v>
      </c>
      <c r="G904" s="48">
        <f>VLOOKUP($B884,[4]Complaints!$A$4:$AJ$39,17,)</f>
        <v>0</v>
      </c>
      <c r="H904" s="48">
        <f>VLOOKUP($B884,[5]Complaints!$A$4:$AJ$39,17,)</f>
        <v>0</v>
      </c>
      <c r="I904" s="48">
        <f>VLOOKUP($B884,[6]Complaints!$A$4:$AJ$39,17,)</f>
        <v>0</v>
      </c>
      <c r="J904" s="48">
        <f>VLOOKUP($B884,[7]Complaints!$A$4:$AJ$39,17,)</f>
        <v>0</v>
      </c>
      <c r="K904" s="48">
        <f>VLOOKUP($B884,[8]Complaints!$A$4:$AJ$39,17,)</f>
        <v>0</v>
      </c>
      <c r="L904" s="48">
        <f>VLOOKUP($B884,[9]Complaints!$A$4:$AJ$39,17,)</f>
        <v>0</v>
      </c>
      <c r="M904" s="48">
        <f>VLOOKUP($B884,[10]Complaints!$A$4:$AJ$39,17,)</f>
        <v>0</v>
      </c>
      <c r="N904" s="48">
        <f>VLOOKUP($B884,[11]Complaints!$A$4:$AJ$39,17,)</f>
        <v>0</v>
      </c>
      <c r="O904" s="49">
        <f>VLOOKUP($B884,[12]Complaints!$A$4:$AJ$39,17,)</f>
        <v>0</v>
      </c>
      <c r="P904" s="55">
        <f t="shared" si="237"/>
        <v>0</v>
      </c>
      <c r="Q904" s="50" t="str">
        <f>IF(P904=0,"",P904/$P886)</f>
        <v/>
      </c>
      <c r="R904" s="18"/>
    </row>
    <row r="905" spans="2:18" ht="15.75" customHeight="1" x14ac:dyDescent="0.2">
      <c r="B905" s="169"/>
      <c r="C905" s="31" t="s">
        <v>81</v>
      </c>
      <c r="D905" s="47">
        <f>VLOOKUP($B884,[1]Complaints!$A$4:$AJ$39,18,)</f>
        <v>0</v>
      </c>
      <c r="E905" s="48">
        <f>VLOOKUP($B884,[2]Complaints!$A$4:$AJ$39,18,)</f>
        <v>0</v>
      </c>
      <c r="F905" s="48">
        <f>VLOOKUP($B884,[3]Complaints!$A$4:$AJ$39,18,)</f>
        <v>0</v>
      </c>
      <c r="G905" s="48">
        <f>VLOOKUP($B884,[4]Complaints!$A$4:$AJ$39,18,)</f>
        <v>0</v>
      </c>
      <c r="H905" s="48">
        <f>VLOOKUP($B884,[5]Complaints!$A$4:$AJ$39,18,)</f>
        <v>0</v>
      </c>
      <c r="I905" s="48">
        <f>VLOOKUP($B884,[6]Complaints!$A$4:$AJ$39,18,)</f>
        <v>0</v>
      </c>
      <c r="J905" s="48">
        <f>VLOOKUP($B884,[7]Complaints!$A$4:$AJ$39,18,)</f>
        <v>0</v>
      </c>
      <c r="K905" s="48">
        <f>VLOOKUP($B884,[8]Complaints!$A$4:$AJ$39,18,)</f>
        <v>0</v>
      </c>
      <c r="L905" s="48">
        <f>VLOOKUP($B884,[9]Complaints!$A$4:$AJ$39,18,)</f>
        <v>0</v>
      </c>
      <c r="M905" s="48">
        <f>VLOOKUP($B884,[10]Complaints!$A$4:$AJ$39,18,)</f>
        <v>1</v>
      </c>
      <c r="N905" s="48">
        <f>VLOOKUP($B884,[11]Complaints!$A$4:$AJ$39,18,)</f>
        <v>0</v>
      </c>
      <c r="O905" s="49">
        <f>VLOOKUP($B884,[12]Complaints!$A$4:$AJ$39,18,)</f>
        <v>0</v>
      </c>
      <c r="P905" s="55">
        <f t="shared" si="237"/>
        <v>1</v>
      </c>
      <c r="Q905" s="50">
        <f>IF(P905=0,"",P905/$P886)</f>
        <v>0.2</v>
      </c>
      <c r="R905" s="18"/>
    </row>
    <row r="906" spans="2:18" ht="15.75" customHeight="1" x14ac:dyDescent="0.2">
      <c r="B906" s="169"/>
      <c r="C906" s="31" t="s">
        <v>82</v>
      </c>
      <c r="D906" s="47">
        <f>VLOOKUP($B884,[1]Complaints!$A$4:$AJ$39,19,)</f>
        <v>0</v>
      </c>
      <c r="E906" s="48">
        <f>VLOOKUP($B884,[2]Complaints!$A$4:$AJ$39,19,)</f>
        <v>0</v>
      </c>
      <c r="F906" s="48">
        <f>VLOOKUP($B884,[3]Complaints!$A$4:$AJ$39,19,)</f>
        <v>0</v>
      </c>
      <c r="G906" s="48">
        <f>VLOOKUP($B884,[4]Complaints!$A$4:$AJ$39,19,)</f>
        <v>0</v>
      </c>
      <c r="H906" s="48">
        <f>VLOOKUP($B884,[5]Complaints!$A$4:$AJ$39,19,)</f>
        <v>0</v>
      </c>
      <c r="I906" s="48">
        <f>VLOOKUP($B884,[6]Complaints!$A$4:$AJ$39,19,)</f>
        <v>0</v>
      </c>
      <c r="J906" s="48">
        <f>VLOOKUP($B884,[7]Complaints!$A$4:$AJ$39,19,)</f>
        <v>0</v>
      </c>
      <c r="K906" s="48">
        <f>VLOOKUP($B884,[8]Complaints!$A$4:$AJ$39,19,)</f>
        <v>0</v>
      </c>
      <c r="L906" s="48">
        <f>VLOOKUP($B884,[9]Complaints!$A$4:$AJ$39,19,)</f>
        <v>0</v>
      </c>
      <c r="M906" s="48">
        <f>VLOOKUP($B884,[10]Complaints!$A$4:$AJ$39,19,)</f>
        <v>0</v>
      </c>
      <c r="N906" s="48">
        <f>VLOOKUP($B884,[11]Complaints!$A$4:$AJ$39,19,)</f>
        <v>0</v>
      </c>
      <c r="O906" s="49">
        <f>VLOOKUP($B884,[12]Complaints!$A$4:$AJ$39,19,)</f>
        <v>0</v>
      </c>
      <c r="P906" s="55">
        <f t="shared" si="237"/>
        <v>0</v>
      </c>
      <c r="Q906" s="50" t="str">
        <f>IF(P906=0,"",P906/$P886)</f>
        <v/>
      </c>
      <c r="R906" s="18"/>
    </row>
    <row r="907" spans="2:18" ht="15.75" customHeight="1" thickBot="1" x14ac:dyDescent="0.25">
      <c r="B907" s="170"/>
      <c r="C907" s="31" t="s">
        <v>83</v>
      </c>
      <c r="D907" s="47">
        <f>VLOOKUP($B884,[1]Complaints!$A$4:$AJ$39,20,)</f>
        <v>0</v>
      </c>
      <c r="E907" s="48">
        <f>VLOOKUP($B884,[2]Complaints!$A$4:$AJ$39,20,)</f>
        <v>0</v>
      </c>
      <c r="F907" s="48">
        <f>VLOOKUP($B884,[3]Complaints!$A$4:$AJ$39,20,)</f>
        <v>0</v>
      </c>
      <c r="G907" s="48">
        <f>VLOOKUP($B884,[4]Complaints!$A$4:$AJ$39,20,)</f>
        <v>0</v>
      </c>
      <c r="H907" s="48">
        <f>VLOOKUP($B884,[5]Complaints!$A$4:$AJ$39,20,)</f>
        <v>0</v>
      </c>
      <c r="I907" s="48">
        <f>VLOOKUP($B884,[6]Complaints!$A$4:$AJ$39,20,)</f>
        <v>0</v>
      </c>
      <c r="J907" s="48">
        <f>VLOOKUP($B884,[7]Complaints!$A$4:$AJ$39,20,)</f>
        <v>0</v>
      </c>
      <c r="K907" s="48">
        <f>VLOOKUP($B884,[8]Complaints!$A$4:$AJ$39,20,)</f>
        <v>0</v>
      </c>
      <c r="L907" s="48">
        <f>VLOOKUP($B884,[9]Complaints!$A$4:$AJ$39,20,)</f>
        <v>0</v>
      </c>
      <c r="M907" s="48">
        <f>VLOOKUP($B884,[10]Complaints!$A$4:$AJ$39,20,)</f>
        <v>0</v>
      </c>
      <c r="N907" s="48">
        <f>VLOOKUP($B884,[11]Complaints!$A$4:$AJ$39,20,)</f>
        <v>0</v>
      </c>
      <c r="O907" s="49">
        <f>VLOOKUP($B884,[12]Complaints!$A$4:$AJ$39,20,)</f>
        <v>0</v>
      </c>
      <c r="P907" s="55">
        <f t="shared" si="237"/>
        <v>0</v>
      </c>
      <c r="Q907" s="50" t="str">
        <f>IF(P907=0,"",P907/$P886)</f>
        <v/>
      </c>
      <c r="R907" s="18"/>
    </row>
    <row r="908" spans="2:18" ht="15.75" customHeight="1" x14ac:dyDescent="0.2">
      <c r="B908" s="144" t="s">
        <v>90</v>
      </c>
      <c r="C908" s="37" t="s">
        <v>118</v>
      </c>
      <c r="D908" s="62">
        <f>VLOOKUP($B884,[1]Complaints!$A$4:$AJ$39,21,)</f>
        <v>0</v>
      </c>
      <c r="E908" s="63">
        <f>VLOOKUP($B884,[2]Complaints!$A$4:$AJ$39,21,)</f>
        <v>0</v>
      </c>
      <c r="F908" s="63">
        <f>VLOOKUP($B884,[3]Complaints!$A$4:$AJ$39,21,)</f>
        <v>0</v>
      </c>
      <c r="G908" s="63">
        <f>VLOOKUP($B884,[4]Complaints!$A$4:$AJ$39,21,)</f>
        <v>1</v>
      </c>
      <c r="H908" s="63">
        <f>VLOOKUP($B884,[5]Complaints!$A$4:$AJ$39,21,)</f>
        <v>0</v>
      </c>
      <c r="I908" s="63">
        <f>VLOOKUP($B884,[6]Complaints!$A$4:$AJ$39,21,)</f>
        <v>1</v>
      </c>
      <c r="J908" s="63">
        <f>VLOOKUP($B884,[7]Complaints!$A$4:$AJ$39,21,)</f>
        <v>0</v>
      </c>
      <c r="K908" s="63">
        <f>VLOOKUP($B884,[8]Complaints!$A$4:$AJ$39,21,)</f>
        <v>0</v>
      </c>
      <c r="L908" s="63">
        <f>VLOOKUP($B884,[9]Complaints!$A$4:$AJ$39,21,)</f>
        <v>0</v>
      </c>
      <c r="M908" s="63">
        <f>VLOOKUP($B884,[10]Complaints!$A$4:$AJ$39,21,)</f>
        <v>0</v>
      </c>
      <c r="N908" s="63">
        <f>VLOOKUP($B884,[11]Complaints!$A$4:$AJ$39,21,)</f>
        <v>0</v>
      </c>
      <c r="O908" s="64">
        <f>VLOOKUP($B884,[12]Complaints!$A$4:$AJ$39,21,)</f>
        <v>0</v>
      </c>
      <c r="P908" s="65">
        <f>SUM(D908:O908)</f>
        <v>2</v>
      </c>
      <c r="Q908" s="46">
        <f>IF(P908=0,"",P908/$P892)</f>
        <v>1</v>
      </c>
      <c r="R908" s="18"/>
    </row>
    <row r="909" spans="2:18" ht="15.75" customHeight="1" x14ac:dyDescent="0.2">
      <c r="B909" s="145"/>
      <c r="C909" s="38" t="s">
        <v>77</v>
      </c>
      <c r="D909" s="66">
        <f>VLOOKUP($B884,[1]Complaints!$A$4:$AJ$39,22,)</f>
        <v>0</v>
      </c>
      <c r="E909" s="67">
        <f>VLOOKUP($B884,[2]Complaints!$A$4:$AJ$39,22,)</f>
        <v>0</v>
      </c>
      <c r="F909" s="67">
        <f>VLOOKUP($B884,[3]Complaints!$A$4:$AJ$39,22,)</f>
        <v>0</v>
      </c>
      <c r="G909" s="67">
        <f>VLOOKUP($B884,[4]Complaints!$A$4:$AJ$39,22,)</f>
        <v>0</v>
      </c>
      <c r="H909" s="67">
        <f>VLOOKUP($B884,[5]Complaints!$A$4:$AJ$39,22,)</f>
        <v>0</v>
      </c>
      <c r="I909" s="67">
        <f>VLOOKUP($B884,[6]Complaints!$A$4:$AJ$39,22,)</f>
        <v>0</v>
      </c>
      <c r="J909" s="67">
        <f>VLOOKUP($B884,[7]Complaints!$A$4:$AJ$39,22,)</f>
        <v>0</v>
      </c>
      <c r="K909" s="67">
        <f>VLOOKUP($B884,[8]Complaints!$A$4:$AJ$39,22,)</f>
        <v>0</v>
      </c>
      <c r="L909" s="67">
        <f>VLOOKUP($B884,[9]Complaints!$A$4:$AJ$39,22,)</f>
        <v>0</v>
      </c>
      <c r="M909" s="67">
        <f>VLOOKUP($B884,[10]Complaints!$A$4:$AJ$39,22,)</f>
        <v>0</v>
      </c>
      <c r="N909" s="67">
        <f>VLOOKUP($B884,[11]Complaints!$A$4:$AJ$39,22,)</f>
        <v>0</v>
      </c>
      <c r="O909" s="68">
        <f>VLOOKUP($B884,[12]Complaints!$A$4:$AJ$39,22,)</f>
        <v>0</v>
      </c>
      <c r="P909" s="69">
        <f t="shared" ref="P909:P923" si="238">SUM(D909:O909)</f>
        <v>0</v>
      </c>
      <c r="Q909" s="70" t="str">
        <f>IF(P909=0,"",P909/$P892)</f>
        <v/>
      </c>
      <c r="R909" s="18"/>
    </row>
    <row r="910" spans="2:18" ht="15.75" customHeight="1" x14ac:dyDescent="0.2">
      <c r="B910" s="145"/>
      <c r="C910" s="38" t="s">
        <v>108</v>
      </c>
      <c r="D910" s="66">
        <f>VLOOKUP($B884,[1]Complaints!$A$4:$AJ$39,23,)</f>
        <v>0</v>
      </c>
      <c r="E910" s="67">
        <f>VLOOKUP($B884,[2]Complaints!$A$4:$AJ$39,23,)</f>
        <v>0</v>
      </c>
      <c r="F910" s="67">
        <f>VLOOKUP($B884,[3]Complaints!$A$4:$AJ$39,23,)</f>
        <v>0</v>
      </c>
      <c r="G910" s="67">
        <f>VLOOKUP($B884,[4]Complaints!$A$4:$AJ$39,23,)</f>
        <v>0</v>
      </c>
      <c r="H910" s="67">
        <f>VLOOKUP($B884,[5]Complaints!$A$4:$AJ$39,23,)</f>
        <v>0</v>
      </c>
      <c r="I910" s="67">
        <f>VLOOKUP($B884,[6]Complaints!$A$4:$AJ$39,23,)</f>
        <v>0</v>
      </c>
      <c r="J910" s="67">
        <f>VLOOKUP($B884,[7]Complaints!$A$4:$AJ$39,23,)</f>
        <v>0</v>
      </c>
      <c r="K910" s="67">
        <f>VLOOKUP($B884,[8]Complaints!$A$4:$AJ$39,23,)</f>
        <v>0</v>
      </c>
      <c r="L910" s="67">
        <f>VLOOKUP($B884,[9]Complaints!$A$4:$AJ$39,23,)</f>
        <v>0</v>
      </c>
      <c r="M910" s="67">
        <f>VLOOKUP($B884,[10]Complaints!$A$4:$AJ$39,23,)</f>
        <v>0</v>
      </c>
      <c r="N910" s="67">
        <f>VLOOKUP($B884,[11]Complaints!$A$4:$AJ$39,23,)</f>
        <v>0</v>
      </c>
      <c r="O910" s="68">
        <f>VLOOKUP($B884,[12]Complaints!$A$4:$AJ$39,23,)</f>
        <v>0</v>
      </c>
      <c r="P910" s="69">
        <f t="shared" si="238"/>
        <v>0</v>
      </c>
      <c r="Q910" s="70" t="str">
        <f>IF(P910=0,"",P910/$P892)</f>
        <v/>
      </c>
      <c r="R910" s="18"/>
    </row>
    <row r="911" spans="2:18" ht="15.75" customHeight="1" x14ac:dyDescent="0.2">
      <c r="B911" s="145"/>
      <c r="C911" s="38" t="s">
        <v>88</v>
      </c>
      <c r="D911" s="66">
        <f>VLOOKUP($B884,[1]Complaints!$A$4:$AJ$39,24,)</f>
        <v>0</v>
      </c>
      <c r="E911" s="67">
        <f>VLOOKUP($B884,[2]Complaints!$A$4:$AJ$39,24,)</f>
        <v>0</v>
      </c>
      <c r="F911" s="67">
        <f>VLOOKUP($B884,[3]Complaints!$A$4:$AJ$39,24,)</f>
        <v>0</v>
      </c>
      <c r="G911" s="67">
        <f>VLOOKUP($B884,[4]Complaints!$A$4:$AJ$39,24,)</f>
        <v>0</v>
      </c>
      <c r="H911" s="67">
        <f>VLOOKUP($B884,[5]Complaints!$A$4:$AJ$39,24,)</f>
        <v>0</v>
      </c>
      <c r="I911" s="67">
        <f>VLOOKUP($B884,[6]Complaints!$A$4:$AJ$39,24,)</f>
        <v>0</v>
      </c>
      <c r="J911" s="67">
        <f>VLOOKUP($B884,[7]Complaints!$A$4:$AJ$39,24,)</f>
        <v>0</v>
      </c>
      <c r="K911" s="67">
        <f>VLOOKUP($B884,[8]Complaints!$A$4:$AJ$39,24,)</f>
        <v>0</v>
      </c>
      <c r="L911" s="67">
        <f>VLOOKUP($B884,[9]Complaints!$A$4:$AJ$39,24,)</f>
        <v>0</v>
      </c>
      <c r="M911" s="67">
        <f>VLOOKUP($B884,[10]Complaints!$A$4:$AJ$39,24,)</f>
        <v>0</v>
      </c>
      <c r="N911" s="67">
        <f>VLOOKUP($B884,[11]Complaints!$A$4:$AJ$39,24,)</f>
        <v>0</v>
      </c>
      <c r="O911" s="68">
        <f>VLOOKUP($B884,[12]Complaints!$A$4:$AJ$39,24,)</f>
        <v>0</v>
      </c>
      <c r="P911" s="69">
        <f t="shared" si="238"/>
        <v>0</v>
      </c>
      <c r="Q911" s="70" t="str">
        <f>IF(P911=0,"",P911/$P892)</f>
        <v/>
      </c>
      <c r="R911" s="18"/>
    </row>
    <row r="912" spans="2:18" ht="15.75" customHeight="1" x14ac:dyDescent="0.2">
      <c r="B912" s="145"/>
      <c r="C912" s="38" t="s">
        <v>109</v>
      </c>
      <c r="D912" s="66">
        <f>VLOOKUP($B884,[1]Complaints!$A$4:$AJ$39,25,)</f>
        <v>0</v>
      </c>
      <c r="E912" s="67">
        <f>VLOOKUP($B884,[2]Complaints!$A$4:$AJ$39,25,)</f>
        <v>0</v>
      </c>
      <c r="F912" s="67">
        <f>VLOOKUP($B884,[3]Complaints!$A$4:$AJ$39,25,)</f>
        <v>0</v>
      </c>
      <c r="G912" s="67">
        <f>VLOOKUP($B884,[4]Complaints!$A$4:$AJ$39,25,)</f>
        <v>0</v>
      </c>
      <c r="H912" s="67">
        <f>VLOOKUP($B884,[5]Complaints!$A$4:$AJ$39,25,)</f>
        <v>0</v>
      </c>
      <c r="I912" s="67">
        <f>VLOOKUP($B884,[6]Complaints!$A$4:$AJ$39,25,)</f>
        <v>0</v>
      </c>
      <c r="J912" s="67">
        <f>VLOOKUP($B884,[7]Complaints!$A$4:$AJ$39,25,)</f>
        <v>0</v>
      </c>
      <c r="K912" s="67">
        <f>VLOOKUP($B884,[8]Complaints!$A$4:$AJ$39,25,)</f>
        <v>0</v>
      </c>
      <c r="L912" s="67">
        <f>VLOOKUP($B884,[9]Complaints!$A$4:$AJ$39,25,)</f>
        <v>0</v>
      </c>
      <c r="M912" s="67">
        <f>VLOOKUP($B884,[10]Complaints!$A$4:$AJ$39,25,)</f>
        <v>0</v>
      </c>
      <c r="N912" s="67">
        <f>VLOOKUP($B884,[11]Complaints!$A$4:$AJ$39,25,)</f>
        <v>0</v>
      </c>
      <c r="O912" s="68">
        <f>VLOOKUP($B884,[12]Complaints!$A$4:$AJ$39,25,)</f>
        <v>0</v>
      </c>
      <c r="P912" s="69">
        <f t="shared" si="238"/>
        <v>0</v>
      </c>
      <c r="Q912" s="70" t="str">
        <f>IF(P912=0,"",P912/$P892)</f>
        <v/>
      </c>
      <c r="R912" s="18"/>
    </row>
    <row r="913" spans="1:19" ht="15.75" customHeight="1" x14ac:dyDescent="0.2">
      <c r="A913" s="21"/>
      <c r="B913" s="145"/>
      <c r="C913" s="38" t="s">
        <v>110</v>
      </c>
      <c r="D913" s="66">
        <f>VLOOKUP($B884,[1]Complaints!$A$4:$AJ$39,26,)</f>
        <v>0</v>
      </c>
      <c r="E913" s="67">
        <f>VLOOKUP($B884,[2]Complaints!$A$4:$AJ$39,26,)</f>
        <v>0</v>
      </c>
      <c r="F913" s="67">
        <f>VLOOKUP($B884,[3]Complaints!$A$4:$AJ$39,26,)</f>
        <v>0</v>
      </c>
      <c r="G913" s="67">
        <f>VLOOKUP($B884,[4]Complaints!$A$4:$AJ$39,26,)</f>
        <v>0</v>
      </c>
      <c r="H913" s="67">
        <f>VLOOKUP($B884,[5]Complaints!$A$4:$AJ$39,26,)</f>
        <v>0</v>
      </c>
      <c r="I913" s="67">
        <f>VLOOKUP($B884,[6]Complaints!$A$4:$AJ$39,26,)</f>
        <v>0</v>
      </c>
      <c r="J913" s="67">
        <f>VLOOKUP($B884,[7]Complaints!$A$4:$AJ$39,26,)</f>
        <v>0</v>
      </c>
      <c r="K913" s="67">
        <f>VLOOKUP($B884,[8]Complaints!$A$4:$AJ$39,26,)</f>
        <v>0</v>
      </c>
      <c r="L913" s="67">
        <f>VLOOKUP($B884,[9]Complaints!$A$4:$AJ$39,26,)</f>
        <v>0</v>
      </c>
      <c r="M913" s="67">
        <f>VLOOKUP($B884,[10]Complaints!$A$4:$AJ$39,26,)</f>
        <v>0</v>
      </c>
      <c r="N913" s="67">
        <f>VLOOKUP($B884,[11]Complaints!$A$4:$AJ$39,26,)</f>
        <v>0</v>
      </c>
      <c r="O913" s="68">
        <f>VLOOKUP($B884,[12]Complaints!$A$4:$AJ$39,26,)</f>
        <v>0</v>
      </c>
      <c r="P913" s="69">
        <f t="shared" si="238"/>
        <v>0</v>
      </c>
      <c r="Q913" s="70" t="str">
        <f>IF(P913=0,"",P913/$P892)</f>
        <v/>
      </c>
      <c r="R913" s="18"/>
    </row>
    <row r="914" spans="1:19" s="21" customFormat="1" ht="15.75" customHeight="1" x14ac:dyDescent="0.2">
      <c r="B914" s="145"/>
      <c r="C914" s="39" t="s">
        <v>107</v>
      </c>
      <c r="D914" s="71">
        <f>VLOOKUP($B884,[1]Complaints!$A$4:$AJ$39,27,)</f>
        <v>0</v>
      </c>
      <c r="E914" s="72">
        <f>VLOOKUP($B884,[2]Complaints!$A$4:$AJ$39,27,)</f>
        <v>0</v>
      </c>
      <c r="F914" s="72">
        <f>VLOOKUP($B884,[3]Complaints!$A$4:$AJ$39,27,)</f>
        <v>0</v>
      </c>
      <c r="G914" s="72">
        <f>VLOOKUP($B884,[4]Complaints!$A$4:$AJ$39,27,)</f>
        <v>1</v>
      </c>
      <c r="H914" s="72">
        <f>VLOOKUP($B884,[5]Complaints!$A$4:$AJ$39,27,)</f>
        <v>0</v>
      </c>
      <c r="I914" s="72">
        <f>VLOOKUP($B884,[6]Complaints!$A$4:$AJ$39,27,)</f>
        <v>0</v>
      </c>
      <c r="J914" s="72">
        <f>VLOOKUP($B884,[7]Complaints!$A$4:$AJ$39,27,)</f>
        <v>0</v>
      </c>
      <c r="K914" s="72">
        <f>VLOOKUP($B884,[8]Complaints!$A$4:$AJ$39,27,)</f>
        <v>0</v>
      </c>
      <c r="L914" s="72">
        <f>VLOOKUP($B884,[9]Complaints!$A$4:$AJ$39,27,)</f>
        <v>0</v>
      </c>
      <c r="M914" s="72">
        <f>VLOOKUP($B884,[10]Complaints!$A$4:$AJ$39,27,)</f>
        <v>0</v>
      </c>
      <c r="N914" s="72">
        <f>VLOOKUP($B884,[11]Complaints!$A$4:$AJ$39,27,)</f>
        <v>0</v>
      </c>
      <c r="O914" s="73">
        <f>VLOOKUP($B884,[12]Complaints!$A$4:$AJ$39,27,)</f>
        <v>0</v>
      </c>
      <c r="P914" s="69">
        <f t="shared" si="238"/>
        <v>1</v>
      </c>
      <c r="Q914" s="70">
        <f>IF(P914=0,"",P914/$P892)</f>
        <v>0.5</v>
      </c>
      <c r="S914" s="18"/>
    </row>
    <row r="915" spans="1:19" ht="15.75" customHeight="1" x14ac:dyDescent="0.2">
      <c r="B915" s="145"/>
      <c r="C915" s="39" t="s">
        <v>87</v>
      </c>
      <c r="D915" s="71">
        <f>VLOOKUP($B884,[1]Complaints!$A$4:$AJ$39,28,)</f>
        <v>0</v>
      </c>
      <c r="E915" s="72">
        <f>VLOOKUP($B884,[2]Complaints!$A$4:$AJ$39,28,)</f>
        <v>0</v>
      </c>
      <c r="F915" s="72">
        <f>VLOOKUP($B884,[3]Complaints!$A$4:$AJ$39,28,)</f>
        <v>0</v>
      </c>
      <c r="G915" s="72">
        <f>VLOOKUP($B884,[4]Complaints!$A$4:$AJ$39,28,)</f>
        <v>0</v>
      </c>
      <c r="H915" s="72">
        <f>VLOOKUP($B884,[5]Complaints!$A$4:$AJ$39,28,)</f>
        <v>0</v>
      </c>
      <c r="I915" s="72">
        <f>VLOOKUP($B884,[6]Complaints!$A$4:$AJ$39,28,)</f>
        <v>1</v>
      </c>
      <c r="J915" s="72">
        <f>VLOOKUP($B884,[7]Complaints!$A$4:$AJ$39,28,)</f>
        <v>0</v>
      </c>
      <c r="K915" s="72">
        <f>VLOOKUP($B884,[8]Complaints!$A$4:$AJ$39,28,)</f>
        <v>0</v>
      </c>
      <c r="L915" s="72">
        <f>VLOOKUP($B884,[9]Complaints!$A$4:$AJ$39,28,)</f>
        <v>0</v>
      </c>
      <c r="M915" s="72">
        <f>VLOOKUP($B884,[10]Complaints!$A$4:$AJ$39,28,)</f>
        <v>0</v>
      </c>
      <c r="N915" s="72">
        <f>VLOOKUP($B884,[11]Complaints!$A$4:$AJ$39,28,)</f>
        <v>0</v>
      </c>
      <c r="O915" s="73">
        <f>VLOOKUP($B884,[12]Complaints!$A$4:$AJ$39,28,)</f>
        <v>0</v>
      </c>
      <c r="P915" s="69">
        <f t="shared" si="238"/>
        <v>1</v>
      </c>
      <c r="Q915" s="70">
        <f>IF(P915=0,"",P915/$P892)</f>
        <v>0.5</v>
      </c>
      <c r="R915" s="18"/>
    </row>
    <row r="916" spans="1:19" ht="15.75" customHeight="1" x14ac:dyDescent="0.2">
      <c r="B916" s="145"/>
      <c r="C916" s="38" t="s">
        <v>111</v>
      </c>
      <c r="D916" s="66">
        <f>VLOOKUP($B884,[1]Complaints!$A$4:$AJ$39,29,)</f>
        <v>0</v>
      </c>
      <c r="E916" s="67">
        <f>VLOOKUP($B884,[2]Complaints!$A$4:$AJ$39,29,)</f>
        <v>0</v>
      </c>
      <c r="F916" s="67">
        <f>VLOOKUP($B884,[3]Complaints!$A$4:$AJ$39,29,)</f>
        <v>0</v>
      </c>
      <c r="G916" s="67">
        <f>VLOOKUP($B884,[4]Complaints!$A$4:$AJ$39,29,)</f>
        <v>0</v>
      </c>
      <c r="H916" s="67">
        <f>VLOOKUP($B884,[5]Complaints!$A$4:$AJ$39,29,)</f>
        <v>0</v>
      </c>
      <c r="I916" s="67">
        <f>VLOOKUP($B884,[6]Complaints!$A$4:$AJ$39,29,)</f>
        <v>0</v>
      </c>
      <c r="J916" s="67">
        <f>VLOOKUP($B884,[7]Complaints!$A$4:$AJ$39,29,)</f>
        <v>0</v>
      </c>
      <c r="K916" s="67">
        <f>VLOOKUP($B884,[8]Complaints!$A$4:$AJ$39,29,)</f>
        <v>0</v>
      </c>
      <c r="L916" s="67">
        <f>VLOOKUP($B884,[9]Complaints!$A$4:$AJ$39,29,)</f>
        <v>0</v>
      </c>
      <c r="M916" s="67">
        <f>VLOOKUP($B884,[10]Complaints!$A$4:$AJ$39,29,)</f>
        <v>0</v>
      </c>
      <c r="N916" s="67">
        <f>VLOOKUP($B884,[11]Complaints!$A$4:$AJ$39,29,)</f>
        <v>0</v>
      </c>
      <c r="O916" s="68">
        <f>VLOOKUP($B884,[12]Complaints!$A$4:$AJ$39,29,)</f>
        <v>0</v>
      </c>
      <c r="P916" s="69">
        <f t="shared" si="238"/>
        <v>0</v>
      </c>
      <c r="Q916" s="70" t="str">
        <f>IF(P916=0,"",P916/$P892)</f>
        <v/>
      </c>
      <c r="R916" s="18"/>
    </row>
    <row r="917" spans="1:19" ht="15.75" customHeight="1" x14ac:dyDescent="0.2">
      <c r="B917" s="145"/>
      <c r="C917" s="38" t="s">
        <v>112</v>
      </c>
      <c r="D917" s="66">
        <f>VLOOKUP($B884,[1]Complaints!$A$4:$AJ$39,30,)</f>
        <v>0</v>
      </c>
      <c r="E917" s="67">
        <f>VLOOKUP($B884,[2]Complaints!$A$4:$AJ$39,30,)</f>
        <v>0</v>
      </c>
      <c r="F917" s="67">
        <f>VLOOKUP($B884,[3]Complaints!$A$4:$AJ$39,30,)</f>
        <v>0</v>
      </c>
      <c r="G917" s="67">
        <f>VLOOKUP($B884,[4]Complaints!$A$4:$AJ$39,30,)</f>
        <v>0</v>
      </c>
      <c r="H917" s="67">
        <f>VLOOKUP($B884,[5]Complaints!$A$4:$AJ$39,30,)</f>
        <v>0</v>
      </c>
      <c r="I917" s="67">
        <f>VLOOKUP($B884,[6]Complaints!$A$4:$AJ$39,30,)</f>
        <v>0</v>
      </c>
      <c r="J917" s="67">
        <f>VLOOKUP($B884,[7]Complaints!$A$4:$AJ$39,30,)</f>
        <v>0</v>
      </c>
      <c r="K917" s="67">
        <f>VLOOKUP($B884,[8]Complaints!$A$4:$AJ$39,30,)</f>
        <v>0</v>
      </c>
      <c r="L917" s="67">
        <f>VLOOKUP($B884,[9]Complaints!$A$4:$AJ$39,30,)</f>
        <v>0</v>
      </c>
      <c r="M917" s="67">
        <f>VLOOKUP($B884,[10]Complaints!$A$4:$AJ$39,30,)</f>
        <v>0</v>
      </c>
      <c r="N917" s="67">
        <f>VLOOKUP($B884,[11]Complaints!$A$4:$AJ$39,30,)</f>
        <v>0</v>
      </c>
      <c r="O917" s="68">
        <f>VLOOKUP($B884,[12]Complaints!$A$4:$AJ$39,30,)</f>
        <v>0</v>
      </c>
      <c r="P917" s="69">
        <f t="shared" si="238"/>
        <v>0</v>
      </c>
      <c r="Q917" s="70" t="str">
        <f>IF(P917=0,"",P917/$P892)</f>
        <v/>
      </c>
      <c r="R917" s="18"/>
    </row>
    <row r="918" spans="1:19" ht="15.75" customHeight="1" x14ac:dyDescent="0.2">
      <c r="B918" s="146"/>
      <c r="C918" s="40" t="s">
        <v>119</v>
      </c>
      <c r="D918" s="74">
        <f>VLOOKUP($B884,[1]Complaints!$A$4:$AJ$39,31,)</f>
        <v>0</v>
      </c>
      <c r="E918" s="75">
        <f>VLOOKUP($B884,[2]Complaints!$A$4:$AJ$39,31,)</f>
        <v>0</v>
      </c>
      <c r="F918" s="75">
        <f>VLOOKUP($B884,[3]Complaints!$A$4:$AJ$39,31,)</f>
        <v>0</v>
      </c>
      <c r="G918" s="75">
        <f>VLOOKUP($B884,[4]Complaints!$A$4:$AJ$39,31,)</f>
        <v>0</v>
      </c>
      <c r="H918" s="75">
        <f>VLOOKUP($B884,[5]Complaints!$A$4:$AJ$39,31,)</f>
        <v>0</v>
      </c>
      <c r="I918" s="75">
        <f>VLOOKUP($B884,[6]Complaints!$A$4:$AJ$39,31,)</f>
        <v>0</v>
      </c>
      <c r="J918" s="75">
        <f>VLOOKUP($B884,[7]Complaints!$A$4:$AJ$39,31,)</f>
        <v>0</v>
      </c>
      <c r="K918" s="75">
        <f>VLOOKUP($B884,[8]Complaints!$A$4:$AJ$39,31,)</f>
        <v>0</v>
      </c>
      <c r="L918" s="75">
        <f>VLOOKUP($B884,[9]Complaints!$A$4:$AJ$39,31,)</f>
        <v>0</v>
      </c>
      <c r="M918" s="75">
        <f>VLOOKUP($B884,[10]Complaints!$A$4:$AJ$39,31,)</f>
        <v>0</v>
      </c>
      <c r="N918" s="75">
        <f>VLOOKUP($B884,[11]Complaints!$A$4:$AJ$39,31,)</f>
        <v>0</v>
      </c>
      <c r="O918" s="76">
        <f>VLOOKUP($B884,[12]Complaints!$A$4:$AJ$39,31,)</f>
        <v>0</v>
      </c>
      <c r="P918" s="77">
        <f t="shared" si="238"/>
        <v>0</v>
      </c>
      <c r="Q918" s="50" t="str">
        <f>IF(P918=0,"",P918/$P892)</f>
        <v/>
      </c>
      <c r="R918" s="18"/>
    </row>
    <row r="919" spans="1:19" ht="15.75" customHeight="1" x14ac:dyDescent="0.2">
      <c r="B919" s="146"/>
      <c r="C919" s="38" t="s">
        <v>113</v>
      </c>
      <c r="D919" s="66">
        <f>VLOOKUP($B884,[1]Complaints!$A$4:$AJ$39,32,)</f>
        <v>0</v>
      </c>
      <c r="E919" s="67">
        <f>VLOOKUP($B884,[2]Complaints!$A$4:$AJ$39,32,)</f>
        <v>0</v>
      </c>
      <c r="F919" s="67">
        <f>VLOOKUP($B884,[3]Complaints!$A$4:$AJ$39,32,)</f>
        <v>0</v>
      </c>
      <c r="G919" s="67">
        <f>VLOOKUP($B884,[4]Complaints!$A$4:$AJ$39,32,)</f>
        <v>0</v>
      </c>
      <c r="H919" s="67">
        <f>VLOOKUP($B884,[5]Complaints!$A$4:$AJ$39,32,)</f>
        <v>0</v>
      </c>
      <c r="I919" s="67">
        <f>VLOOKUP($B884,[6]Complaints!$A$4:$AJ$39,32,)</f>
        <v>0</v>
      </c>
      <c r="J919" s="67">
        <f>VLOOKUP($B884,[7]Complaints!$A$4:$AJ$39,32,)</f>
        <v>0</v>
      </c>
      <c r="K919" s="67">
        <f>VLOOKUP($B884,[8]Complaints!$A$4:$AJ$39,32,)</f>
        <v>0</v>
      </c>
      <c r="L919" s="67">
        <f>VLOOKUP($B884,[9]Complaints!$A$4:$AJ$39,32,)</f>
        <v>0</v>
      </c>
      <c r="M919" s="67">
        <f>VLOOKUP($B884,[10]Complaints!$A$4:$AJ$39,32,)</f>
        <v>0</v>
      </c>
      <c r="N919" s="67">
        <f>VLOOKUP($B884,[11]Complaints!$A$4:$AJ$39,32,)</f>
        <v>0</v>
      </c>
      <c r="O919" s="68">
        <f>VLOOKUP($B884,[12]Complaints!$A$4:$AJ$39,32,)</f>
        <v>0</v>
      </c>
      <c r="P919" s="69">
        <f t="shared" si="238"/>
        <v>0</v>
      </c>
      <c r="Q919" s="70" t="str">
        <f>IF(P919=0,"",P919/$P892)</f>
        <v/>
      </c>
      <c r="R919" s="18"/>
    </row>
    <row r="920" spans="1:19" ht="15.75" customHeight="1" x14ac:dyDescent="0.2">
      <c r="B920" s="146"/>
      <c r="C920" s="38" t="s">
        <v>114</v>
      </c>
      <c r="D920" s="66">
        <f>VLOOKUP($B884,[1]Complaints!$A$4:$AJ$39,33,)</f>
        <v>0</v>
      </c>
      <c r="E920" s="67">
        <f>VLOOKUP($B884,[2]Complaints!$A$4:$AJ$39,33,)</f>
        <v>0</v>
      </c>
      <c r="F920" s="67">
        <f>VLOOKUP($B884,[3]Complaints!$A$4:$AJ$39,33,)</f>
        <v>0</v>
      </c>
      <c r="G920" s="67">
        <f>VLOOKUP($B884,[4]Complaints!$A$4:$AJ$39,33,)</f>
        <v>0</v>
      </c>
      <c r="H920" s="67">
        <f>VLOOKUP($B884,[5]Complaints!$A$4:$AJ$39,33,)</f>
        <v>0</v>
      </c>
      <c r="I920" s="67">
        <f>VLOOKUP($B884,[6]Complaints!$A$4:$AJ$39,33,)</f>
        <v>0</v>
      </c>
      <c r="J920" s="67">
        <f>VLOOKUP($B884,[7]Complaints!$A$4:$AJ$39,33,)</f>
        <v>0</v>
      </c>
      <c r="K920" s="67">
        <f>VLOOKUP($B884,[8]Complaints!$A$4:$AJ$39,33,)</f>
        <v>0</v>
      </c>
      <c r="L920" s="67">
        <f>VLOOKUP($B884,[9]Complaints!$A$4:$AJ$39,33,)</f>
        <v>0</v>
      </c>
      <c r="M920" s="67">
        <f>VLOOKUP($B884,[10]Complaints!$A$4:$AJ$39,33,)</f>
        <v>0</v>
      </c>
      <c r="N920" s="67">
        <f>VLOOKUP($B884,[11]Complaints!$A$4:$AJ$39,33,)</f>
        <v>0</v>
      </c>
      <c r="O920" s="68">
        <f>VLOOKUP($B884,[12]Complaints!$A$4:$AJ$39,33,)</f>
        <v>0</v>
      </c>
      <c r="P920" s="69">
        <f t="shared" si="238"/>
        <v>0</v>
      </c>
      <c r="Q920" s="70" t="str">
        <f>IF(P920=0,"",P920/$P892)</f>
        <v/>
      </c>
      <c r="R920" s="18"/>
    </row>
    <row r="921" spans="1:19" ht="15.75" customHeight="1" x14ac:dyDescent="0.2">
      <c r="B921" s="146"/>
      <c r="C921" s="38" t="s">
        <v>115</v>
      </c>
      <c r="D921" s="66">
        <f>VLOOKUP($B884,[1]Complaints!$A$4:$AJ$39,34,)</f>
        <v>0</v>
      </c>
      <c r="E921" s="67">
        <f>VLOOKUP($B884,[2]Complaints!$A$4:$AJ$39,34,)</f>
        <v>0</v>
      </c>
      <c r="F921" s="67">
        <f>VLOOKUP($B884,[3]Complaints!$A$4:$AJ$39,34,)</f>
        <v>0</v>
      </c>
      <c r="G921" s="67">
        <f>VLOOKUP($B884,[4]Complaints!$A$4:$AJ$39,34,)</f>
        <v>0</v>
      </c>
      <c r="H921" s="67">
        <f>VLOOKUP($B884,[5]Complaints!$A$4:$AJ$39,34,)</f>
        <v>0</v>
      </c>
      <c r="I921" s="67">
        <f>VLOOKUP($B884,[6]Complaints!$A$4:$AJ$39,34,)</f>
        <v>0</v>
      </c>
      <c r="J921" s="67">
        <f>VLOOKUP($B884,[7]Complaints!$A$4:$AJ$39,34,)</f>
        <v>0</v>
      </c>
      <c r="K921" s="67">
        <f>VLOOKUP($B884,[8]Complaints!$A$4:$AJ$39,34,)</f>
        <v>0</v>
      </c>
      <c r="L921" s="67">
        <f>VLOOKUP($B884,[9]Complaints!$A$4:$AJ$39,34,)</f>
        <v>0</v>
      </c>
      <c r="M921" s="67">
        <f>VLOOKUP($B884,[10]Complaints!$A$4:$AJ$39,34,)</f>
        <v>0</v>
      </c>
      <c r="N921" s="67">
        <f>VLOOKUP($B884,[11]Complaints!$A$4:$AJ$39,34,)</f>
        <v>0</v>
      </c>
      <c r="O921" s="68">
        <f>VLOOKUP($B884,[12]Complaints!$A$4:$AJ$39,34,)</f>
        <v>0</v>
      </c>
      <c r="P921" s="69">
        <f t="shared" si="238"/>
        <v>0</v>
      </c>
      <c r="Q921" s="70" t="str">
        <f>IF(P921=0,"",P921/$P892)</f>
        <v/>
      </c>
      <c r="R921" s="18"/>
    </row>
    <row r="922" spans="1:19" ht="15.75" customHeight="1" x14ac:dyDescent="0.2">
      <c r="B922" s="146"/>
      <c r="C922" s="38" t="s">
        <v>116</v>
      </c>
      <c r="D922" s="66">
        <f>VLOOKUP($B884,[1]Complaints!$A$4:$AJ$39,35,)</f>
        <v>0</v>
      </c>
      <c r="E922" s="67">
        <f>VLOOKUP($B884,[2]Complaints!$A$4:$AJ$39,35,)</f>
        <v>0</v>
      </c>
      <c r="F922" s="67">
        <f>VLOOKUP($B884,[3]Complaints!$A$4:$AJ$39,35,)</f>
        <v>0</v>
      </c>
      <c r="G922" s="67">
        <f>VLOOKUP($B884,[4]Complaints!$A$4:$AJ$39,35,)</f>
        <v>0</v>
      </c>
      <c r="H922" s="67">
        <f>VLOOKUP($B884,[5]Complaints!$A$4:$AJ$39,35,)</f>
        <v>0</v>
      </c>
      <c r="I922" s="67">
        <f>VLOOKUP($B884,[6]Complaints!$A$4:$AJ$39,35,)</f>
        <v>0</v>
      </c>
      <c r="J922" s="67">
        <f>VLOOKUP($B884,[7]Complaints!$A$4:$AJ$39,35,)</f>
        <v>0</v>
      </c>
      <c r="K922" s="67">
        <f>VLOOKUP($B884,[8]Complaints!$A$4:$AJ$39,35,)</f>
        <v>0</v>
      </c>
      <c r="L922" s="67">
        <f>VLOOKUP($B884,[9]Complaints!$A$4:$AJ$39,35,)</f>
        <v>0</v>
      </c>
      <c r="M922" s="67">
        <f>VLOOKUP($B884,[10]Complaints!$A$4:$AJ$39,35,)</f>
        <v>0</v>
      </c>
      <c r="N922" s="67">
        <f>VLOOKUP($B884,[11]Complaints!$A$4:$AJ$39,35,)</f>
        <v>0</v>
      </c>
      <c r="O922" s="68">
        <f>VLOOKUP($B884,[12]Complaints!$A$4:$AJ$39,35,)</f>
        <v>0</v>
      </c>
      <c r="P922" s="69">
        <f t="shared" si="238"/>
        <v>0</v>
      </c>
      <c r="Q922" s="70" t="str">
        <f>IF(P922=0,"",P922/$P892)</f>
        <v/>
      </c>
      <c r="R922" s="18"/>
    </row>
    <row r="923" spans="1:19" ht="15.75" customHeight="1" thickBot="1" x14ac:dyDescent="0.25">
      <c r="B923" s="147"/>
      <c r="C923" s="41" t="s">
        <v>117</v>
      </c>
      <c r="D923" s="78">
        <f>VLOOKUP($B884,[1]Complaints!$A$4:$AJ$39,36,)</f>
        <v>0</v>
      </c>
      <c r="E923" s="79">
        <f>VLOOKUP($B884,[2]Complaints!$A$4:$AJ$39,36,)</f>
        <v>0</v>
      </c>
      <c r="F923" s="79">
        <f>VLOOKUP($B884,[3]Complaints!$A$4:$AJ$39,36,)</f>
        <v>0</v>
      </c>
      <c r="G923" s="79">
        <f>VLOOKUP($B884,[4]Complaints!$A$4:$AJ$39,36,)</f>
        <v>0</v>
      </c>
      <c r="H923" s="79">
        <f>VLOOKUP($B884,[5]Complaints!$A$4:$AJ$39,36,)</f>
        <v>0</v>
      </c>
      <c r="I923" s="79">
        <f>VLOOKUP($B884,[6]Complaints!$A$4:$AJ$39,36,)</f>
        <v>0</v>
      </c>
      <c r="J923" s="79">
        <f>VLOOKUP($B884,[7]Complaints!$A$4:$AJ$39,36,)</f>
        <v>0</v>
      </c>
      <c r="K923" s="79">
        <f>VLOOKUP($B884,[8]Complaints!$A$4:$AJ$39,36,)</f>
        <v>0</v>
      </c>
      <c r="L923" s="79">
        <f>VLOOKUP($B884,[9]Complaints!$A$4:$AJ$39,36,)</f>
        <v>0</v>
      </c>
      <c r="M923" s="79">
        <f>VLOOKUP($B884,[10]Complaints!$A$4:$AJ$39,36,)</f>
        <v>0</v>
      </c>
      <c r="N923" s="79">
        <f>VLOOKUP($B884,[11]Complaints!$A$4:$AJ$39,36,)</f>
        <v>0</v>
      </c>
      <c r="O923" s="80">
        <f>VLOOKUP($B884,[12]Complaints!$A$4:$AJ$39,36,)</f>
        <v>0</v>
      </c>
      <c r="P923" s="81">
        <f t="shared" si="238"/>
        <v>0</v>
      </c>
      <c r="Q923" s="82" t="str">
        <f>IF(P923=0,"",P923/$P892)</f>
        <v/>
      </c>
      <c r="R923" s="18"/>
    </row>
    <row r="924" spans="1:19" ht="15.75" customHeight="1" thickBot="1" x14ac:dyDescent="0.25">
      <c r="R924" s="18"/>
    </row>
    <row r="925" spans="1:19" ht="15.75" customHeight="1" x14ac:dyDescent="0.25">
      <c r="B925" s="158" t="s">
        <v>29</v>
      </c>
      <c r="C925" s="159"/>
      <c r="D925" s="32" t="s">
        <v>0</v>
      </c>
      <c r="E925" s="20" t="s">
        <v>1</v>
      </c>
      <c r="F925" s="20" t="s">
        <v>2</v>
      </c>
      <c r="G925" s="20" t="s">
        <v>3</v>
      </c>
      <c r="H925" s="20" t="s">
        <v>4</v>
      </c>
      <c r="I925" s="20" t="s">
        <v>5</v>
      </c>
      <c r="J925" s="20" t="s">
        <v>6</v>
      </c>
      <c r="K925" s="20" t="s">
        <v>7</v>
      </c>
      <c r="L925" s="20" t="s">
        <v>8</v>
      </c>
      <c r="M925" s="20" t="s">
        <v>9</v>
      </c>
      <c r="N925" s="20" t="s">
        <v>10</v>
      </c>
      <c r="O925" s="33" t="s">
        <v>11</v>
      </c>
      <c r="P925" s="35" t="s">
        <v>12</v>
      </c>
      <c r="Q925" s="160" t="s">
        <v>104</v>
      </c>
      <c r="R925" s="18"/>
    </row>
    <row r="926" spans="1:19" ht="15.75" customHeight="1" thickBot="1" x14ac:dyDescent="0.3">
      <c r="B926" s="162" t="s">
        <v>54</v>
      </c>
      <c r="C926" s="163"/>
      <c r="D926" s="34">
        <v>2020</v>
      </c>
      <c r="E926" s="34">
        <v>2020</v>
      </c>
      <c r="F926" s="34">
        <v>2020</v>
      </c>
      <c r="G926" s="34">
        <v>2020</v>
      </c>
      <c r="H926" s="34">
        <v>2020</v>
      </c>
      <c r="I926" s="34">
        <v>2020</v>
      </c>
      <c r="J926" s="34">
        <v>2020</v>
      </c>
      <c r="K926" s="34">
        <v>2020</v>
      </c>
      <c r="L926" s="34">
        <v>2020</v>
      </c>
      <c r="M926" s="25">
        <v>2021</v>
      </c>
      <c r="N926" s="25">
        <v>2021</v>
      </c>
      <c r="O926" s="25">
        <v>2021</v>
      </c>
      <c r="P926" s="36" t="s">
        <v>122</v>
      </c>
      <c r="Q926" s="161"/>
      <c r="R926" s="18"/>
    </row>
    <row r="927" spans="1:19" ht="12.75" customHeight="1" thickBot="1" x14ac:dyDescent="0.25">
      <c r="B927" s="164" t="s">
        <v>38</v>
      </c>
      <c r="C927" s="165"/>
      <c r="D927" s="42">
        <f>VLOOKUP($B926,[1]Complaints!$A$4:$AJ$39,2,)</f>
        <v>573</v>
      </c>
      <c r="E927" s="43">
        <f>VLOOKUP($B926,[2]Complaints!$A$4:$AJ$39,2,)</f>
        <v>859</v>
      </c>
      <c r="F927" s="43">
        <f>VLOOKUP($B926,[3]Complaints!$A$4:$AJ$39,2)</f>
        <v>1271</v>
      </c>
      <c r="G927" s="43">
        <f>VLOOKUP($B926,[4]Complaints!$A$4:$AJ$39,2)</f>
        <v>1906</v>
      </c>
      <c r="H927" s="43">
        <f>VLOOKUP($B926,[5]Complaints!$A$4:$AJ$39,2)</f>
        <v>2139</v>
      </c>
      <c r="I927" s="43">
        <f>VLOOKUP($B926,[6]Complaints!$A$4:$AJ$39,2)</f>
        <v>2241</v>
      </c>
      <c r="J927" s="43">
        <f>VLOOKUP($B926,[7]Complaints!$A$4:$AJ$39,2)</f>
        <v>2292</v>
      </c>
      <c r="K927" s="43">
        <f>VLOOKUP($B926,[8]Complaints!$A$4:$AJ$39,2)</f>
        <v>2292</v>
      </c>
      <c r="L927" s="43">
        <f>VLOOKUP($B926,[9]Complaints!$A$4:$AJ$39,2)</f>
        <v>2255</v>
      </c>
      <c r="M927" s="43">
        <f>VLOOKUP($B926,[10]Complaints!$A$4:$AJ$39,2)</f>
        <v>1474</v>
      </c>
      <c r="N927" s="43">
        <f>VLOOKUP($B926,[11]Complaints!$A$4:$AJ$39,2)</f>
        <v>0</v>
      </c>
      <c r="O927" s="44">
        <f>VLOOKUP($B926,[12]Complaints!$A$4:$AJ$39,2)</f>
        <v>0</v>
      </c>
      <c r="P927" s="45">
        <f>SUM(D927:O927)</f>
        <v>17302</v>
      </c>
      <c r="Q927" s="46"/>
      <c r="R927" s="18"/>
    </row>
    <row r="928" spans="1:19" ht="15.75" customHeight="1" x14ac:dyDescent="0.2">
      <c r="B928" s="166" t="s">
        <v>94</v>
      </c>
      <c r="C928" s="167"/>
      <c r="D928" s="47">
        <f>VLOOKUP($B926,[1]Complaints!$A$4:$AF$39,3,)</f>
        <v>1</v>
      </c>
      <c r="E928" s="48">
        <f>VLOOKUP($B926,[2]Complaints!$A$4:$AF$39,3,)</f>
        <v>1</v>
      </c>
      <c r="F928" s="48">
        <f>VLOOKUP($B926,[3]Complaints!$A$4:$AG$39,3,)</f>
        <v>0</v>
      </c>
      <c r="G928" s="48">
        <f>VLOOKUP($B926,[4]Complaints!$A$4:$AG$39,3,)</f>
        <v>2</v>
      </c>
      <c r="H928" s="48">
        <f>VLOOKUP($B926,[5]Complaints!$A$4:$AG$39,3,)</f>
        <v>2</v>
      </c>
      <c r="I928" s="48">
        <f>VLOOKUP($B926,[6]Complaints!$A$4:$AG$39,3,)</f>
        <v>1</v>
      </c>
      <c r="J928" s="48">
        <f>VLOOKUP($B926,[7]Complaints!$A$4:$AG$39,3,)</f>
        <v>1</v>
      </c>
      <c r="K928" s="48">
        <f>VLOOKUP($B926,[8]Complaints!$A$4:$AG$39,3,)</f>
        <v>1</v>
      </c>
      <c r="L928" s="48">
        <f>VLOOKUP($B926,[9]Complaints!$A$4:$AG$39,3,)</f>
        <v>2</v>
      </c>
      <c r="M928" s="48">
        <f>VLOOKUP($B926,[10]Complaints!$A$4:$AG$39,3,)</f>
        <v>0</v>
      </c>
      <c r="N928" s="48">
        <f>VLOOKUP($B926,[11]Complaints!$A$4:$AG$39,3,)</f>
        <v>0</v>
      </c>
      <c r="O928" s="49">
        <f>VLOOKUP($B926,[12]Complaints!$A$4:$AG$39,3,)</f>
        <v>0</v>
      </c>
      <c r="P928" s="45">
        <f>SUM(D928:O928)</f>
        <v>11</v>
      </c>
      <c r="Q928" s="50"/>
      <c r="R928" s="18"/>
    </row>
    <row r="929" spans="2:18" ht="15.75" customHeight="1" x14ac:dyDescent="0.2">
      <c r="B929" s="26"/>
      <c r="C929" s="28" t="s">
        <v>102</v>
      </c>
      <c r="D929" s="51">
        <f>IF(D927=0,"",D928/D927)</f>
        <v>1.7452006980802793E-3</v>
      </c>
      <c r="E929" s="52">
        <f t="shared" ref="E929:O929" si="239">IF(E927=0,"",E928/E927)</f>
        <v>1.1641443538998836E-3</v>
      </c>
      <c r="F929" s="52">
        <f t="shared" si="239"/>
        <v>0</v>
      </c>
      <c r="G929" s="52">
        <f t="shared" si="239"/>
        <v>1.0493179433368311E-3</v>
      </c>
      <c r="H929" s="52">
        <f t="shared" si="239"/>
        <v>9.3501636278634881E-4</v>
      </c>
      <c r="I929" s="52">
        <f t="shared" si="239"/>
        <v>4.4622936189201248E-4</v>
      </c>
      <c r="J929" s="52">
        <f t="shared" si="239"/>
        <v>4.3630017452006982E-4</v>
      </c>
      <c r="K929" s="52">
        <f t="shared" si="239"/>
        <v>4.3630017452006982E-4</v>
      </c>
      <c r="L929" s="52">
        <f t="shared" si="239"/>
        <v>8.869179600886918E-4</v>
      </c>
      <c r="M929" s="52">
        <f t="shared" si="239"/>
        <v>0</v>
      </c>
      <c r="N929" s="52" t="str">
        <f t="shared" si="239"/>
        <v/>
      </c>
      <c r="O929" s="53" t="str">
        <f t="shared" si="239"/>
        <v/>
      </c>
      <c r="P929" s="54">
        <f>IF(P928="","",P928/P927)</f>
        <v>6.357646514853774E-4</v>
      </c>
      <c r="Q929" s="50"/>
      <c r="R929" s="18"/>
    </row>
    <row r="930" spans="2:18" s="21" customFormat="1" ht="15.75" customHeight="1" x14ac:dyDescent="0.2">
      <c r="B930" s="155" t="s">
        <v>95</v>
      </c>
      <c r="C930" s="156"/>
      <c r="D930" s="47">
        <f>VLOOKUP($B926,[1]Complaints!$A$4:$AF$39,4,)</f>
        <v>1</v>
      </c>
      <c r="E930" s="48">
        <f>VLOOKUP($B926,[2]Complaints!$A$4:$AF$39,4,)</f>
        <v>0</v>
      </c>
      <c r="F930" s="48">
        <f>VLOOKUP($B926,[3]Complaints!$A$4:$AG$39,4,)</f>
        <v>0</v>
      </c>
      <c r="G930" s="48">
        <f>VLOOKUP($B926,[4]Complaints!$A$4:$AG$39,4,)</f>
        <v>0</v>
      </c>
      <c r="H930" s="48">
        <f>VLOOKUP($B926,[5]Complaints!$A$4:$AG$39,4,)</f>
        <v>1</v>
      </c>
      <c r="I930" s="48">
        <f>VLOOKUP($B926,[6]Complaints!$A$4:$AG$39,4,)</f>
        <v>0</v>
      </c>
      <c r="J930" s="48">
        <f>VLOOKUP($B926,[7]Complaints!$A$4:$AG$39,4,)</f>
        <v>0</v>
      </c>
      <c r="K930" s="48">
        <f>VLOOKUP($B926,[8]Complaints!$A$4:$AG$39,4,)</f>
        <v>0</v>
      </c>
      <c r="L930" s="48">
        <f>VLOOKUP($B926,[9]Complaints!$A$4:$AG$39,4,)</f>
        <v>0</v>
      </c>
      <c r="M930" s="48">
        <f>VLOOKUP($B926,[10]Complaints!$A$4:$AG$39,4,)</f>
        <v>0</v>
      </c>
      <c r="N930" s="48">
        <f>VLOOKUP($B926,[11]Complaints!$A$4:$AG$39,4,)</f>
        <v>0</v>
      </c>
      <c r="O930" s="49">
        <f>VLOOKUP($B926,[12]Complaints!$A$4:$AG$39,4,)</f>
        <v>0</v>
      </c>
      <c r="P930" s="55">
        <f t="shared" ref="P930" si="240">SUM(D930:O930)</f>
        <v>2</v>
      </c>
      <c r="Q930" s="50"/>
    </row>
    <row r="931" spans="2:18" ht="15.75" customHeight="1" x14ac:dyDescent="0.2">
      <c r="B931" s="26"/>
      <c r="C931" s="28" t="s">
        <v>98</v>
      </c>
      <c r="D931" s="51">
        <f>IF(D927=0,"",D930/D927)</f>
        <v>1.7452006980802793E-3</v>
      </c>
      <c r="E931" s="52">
        <f t="shared" ref="E931:O931" si="241">IF(E927=0,"",E930/E927)</f>
        <v>0</v>
      </c>
      <c r="F931" s="52">
        <f t="shared" si="241"/>
        <v>0</v>
      </c>
      <c r="G931" s="52">
        <f t="shared" si="241"/>
        <v>0</v>
      </c>
      <c r="H931" s="52">
        <f t="shared" si="241"/>
        <v>4.675081813931744E-4</v>
      </c>
      <c r="I931" s="52">
        <f t="shared" si="241"/>
        <v>0</v>
      </c>
      <c r="J931" s="52">
        <f t="shared" si="241"/>
        <v>0</v>
      </c>
      <c r="K931" s="52">
        <f t="shared" si="241"/>
        <v>0</v>
      </c>
      <c r="L931" s="52">
        <f t="shared" si="241"/>
        <v>0</v>
      </c>
      <c r="M931" s="52">
        <f t="shared" si="241"/>
        <v>0</v>
      </c>
      <c r="N931" s="52" t="str">
        <f t="shared" si="241"/>
        <v/>
      </c>
      <c r="O931" s="53" t="str">
        <f t="shared" si="241"/>
        <v/>
      </c>
      <c r="P931" s="54">
        <f>IF(P930="","",P930/P927)</f>
        <v>1.1559357299734135E-4</v>
      </c>
      <c r="Q931" s="50"/>
      <c r="R931" s="18"/>
    </row>
    <row r="932" spans="2:18" ht="15.75" customHeight="1" x14ac:dyDescent="0.2">
      <c r="B932" s="155" t="s">
        <v>96</v>
      </c>
      <c r="C932" s="156"/>
      <c r="D932" s="47">
        <f>VLOOKUP($B926,[1]Complaints!$A$4:$AF$39,5,)</f>
        <v>0</v>
      </c>
      <c r="E932" s="48">
        <f>VLOOKUP($B926,[2]Complaints!$A$4:$AF$39,5,)</f>
        <v>1</v>
      </c>
      <c r="F932" s="48">
        <f>VLOOKUP($B926,[3]Complaints!$A$4:$AG$39,5,)</f>
        <v>0</v>
      </c>
      <c r="G932" s="48">
        <f>VLOOKUP($B926,[4]Complaints!$A$4:$AG$39,5,)</f>
        <v>2</v>
      </c>
      <c r="H932" s="48">
        <f>VLOOKUP($B926,[5]Complaints!$A$4:$AG$39,5,)</f>
        <v>1</v>
      </c>
      <c r="I932" s="48">
        <f>VLOOKUP($B926,[6]Complaints!$A$4:$AG$39,5,)</f>
        <v>1</v>
      </c>
      <c r="J932" s="48">
        <f>VLOOKUP($B926,[7]Complaints!$A$4:$AG$39,5,)</f>
        <v>1</v>
      </c>
      <c r="K932" s="48">
        <f>VLOOKUP($B926,[8]Complaints!$A$4:$AG$39,5,)</f>
        <v>1</v>
      </c>
      <c r="L932" s="48">
        <f>VLOOKUP($B926,[9]Complaints!$A$4:$AG$39,5,)</f>
        <v>2</v>
      </c>
      <c r="M932" s="48">
        <f>VLOOKUP($B926,[10]Complaints!$A$4:$AG$39,5,)</f>
        <v>0</v>
      </c>
      <c r="N932" s="48">
        <f>VLOOKUP($B926,[11]Complaints!$A$4:$AG$39,5,)</f>
        <v>0</v>
      </c>
      <c r="O932" s="49">
        <f>VLOOKUP($B926,[12]Complaints!$A$4:$AG$39,5,)</f>
        <v>0</v>
      </c>
      <c r="P932" s="55">
        <f t="shared" ref="P932" si="242">SUM(D932:O932)</f>
        <v>9</v>
      </c>
      <c r="Q932" s="50"/>
      <c r="R932" s="18"/>
    </row>
    <row r="933" spans="2:18" ht="15.75" customHeight="1" x14ac:dyDescent="0.2">
      <c r="B933" s="26"/>
      <c r="C933" s="28" t="s">
        <v>99</v>
      </c>
      <c r="D933" s="51">
        <f>IF(D927=0,"",D932/D927)</f>
        <v>0</v>
      </c>
      <c r="E933" s="52">
        <f t="shared" ref="E933:O933" si="243">IF(E927=0,"",E932/E927)</f>
        <v>1.1641443538998836E-3</v>
      </c>
      <c r="F933" s="52">
        <f t="shared" si="243"/>
        <v>0</v>
      </c>
      <c r="G933" s="52">
        <f t="shared" si="243"/>
        <v>1.0493179433368311E-3</v>
      </c>
      <c r="H933" s="52">
        <f t="shared" si="243"/>
        <v>4.675081813931744E-4</v>
      </c>
      <c r="I933" s="52">
        <f t="shared" si="243"/>
        <v>4.4622936189201248E-4</v>
      </c>
      <c r="J933" s="52">
        <f t="shared" si="243"/>
        <v>4.3630017452006982E-4</v>
      </c>
      <c r="K933" s="52">
        <f t="shared" si="243"/>
        <v>4.3630017452006982E-4</v>
      </c>
      <c r="L933" s="52">
        <f t="shared" si="243"/>
        <v>8.869179600886918E-4</v>
      </c>
      <c r="M933" s="52">
        <f t="shared" si="243"/>
        <v>0</v>
      </c>
      <c r="N933" s="52" t="str">
        <f t="shared" si="243"/>
        <v/>
      </c>
      <c r="O933" s="53" t="str">
        <f t="shared" si="243"/>
        <v/>
      </c>
      <c r="P933" s="54">
        <f>IF(P932="","",P932/P927)</f>
        <v>5.201710784880361E-4</v>
      </c>
      <c r="Q933" s="50"/>
      <c r="R933" s="18"/>
    </row>
    <row r="934" spans="2:18" ht="15.75" customHeight="1" x14ac:dyDescent="0.2">
      <c r="B934" s="157" t="s">
        <v>97</v>
      </c>
      <c r="C934" s="156"/>
      <c r="D934" s="47">
        <f>VLOOKUP($B926,[1]Complaints!$A$4:$AF$39,6,)</f>
        <v>1</v>
      </c>
      <c r="E934" s="48">
        <f>VLOOKUP($B926,[2]Complaints!$A$4:$AF$39,6,)</f>
        <v>0</v>
      </c>
      <c r="F934" s="48">
        <f>VLOOKUP($B926,[3]Complaints!$A$4:$AG$39,6,)</f>
        <v>0</v>
      </c>
      <c r="G934" s="48">
        <f>VLOOKUP($B926,[4]Complaints!$A$4:$AG$39,6,)</f>
        <v>1</v>
      </c>
      <c r="H934" s="48">
        <f>VLOOKUP($B926,[5]Complaints!$A$4:$AG$39,6,)</f>
        <v>1</v>
      </c>
      <c r="I934" s="48">
        <f>VLOOKUP($B926,[6]Complaints!$A$4:$AG$39,6,)</f>
        <v>1</v>
      </c>
      <c r="J934" s="48">
        <f>VLOOKUP($B926,[7]Complaints!$A$4:$AG$39,6,)</f>
        <v>1</v>
      </c>
      <c r="K934" s="48">
        <f>VLOOKUP($B926,[8]Complaints!$A$4:$AG$39,6,)</f>
        <v>1</v>
      </c>
      <c r="L934" s="48">
        <f>VLOOKUP($B926,[9]Complaints!$A$4:$AG$39,6,)</f>
        <v>0</v>
      </c>
      <c r="M934" s="48">
        <f>VLOOKUP($B926,[10]Complaints!$A$4:$AG$39,6,)</f>
        <v>0</v>
      </c>
      <c r="N934" s="48">
        <f>VLOOKUP($B926,[11]Complaints!$A$4:$AG$39,6,)</f>
        <v>0</v>
      </c>
      <c r="O934" s="49">
        <f>VLOOKUP($B926,[12]Complaints!$A$4:$AG$39,6,)</f>
        <v>0</v>
      </c>
      <c r="P934" s="55">
        <f t="shared" ref="P934" si="244">SUM(D934:O934)</f>
        <v>6</v>
      </c>
      <c r="Q934" s="50"/>
      <c r="R934" s="18"/>
    </row>
    <row r="935" spans="2:18" ht="15.75" customHeight="1" thickBot="1" x14ac:dyDescent="0.25">
      <c r="B935" s="27"/>
      <c r="C935" s="29" t="s">
        <v>100</v>
      </c>
      <c r="D935" s="56" t="e">
        <f>IF(D934=0,"",D934/D932)</f>
        <v>#DIV/0!</v>
      </c>
      <c r="E935" s="57" t="str">
        <f t="shared" ref="E935:H935" si="245">IF(E934=0,"",E934/E932)</f>
        <v/>
      </c>
      <c r="F935" s="57" t="str">
        <f t="shared" si="245"/>
        <v/>
      </c>
      <c r="G935" s="57">
        <f t="shared" si="245"/>
        <v>0.5</v>
      </c>
      <c r="H935" s="57">
        <f t="shared" si="245"/>
        <v>1</v>
      </c>
      <c r="I935" s="57">
        <f>IF(I934=0,"",I934/I932)</f>
        <v>1</v>
      </c>
      <c r="J935" s="57">
        <f t="shared" ref="J935:O935" si="246">IF(J934=0,"",J934/J932)</f>
        <v>1</v>
      </c>
      <c r="K935" s="57">
        <f t="shared" si="246"/>
        <v>1</v>
      </c>
      <c r="L935" s="57" t="str">
        <f t="shared" si="246"/>
        <v/>
      </c>
      <c r="M935" s="57" t="str">
        <f t="shared" si="246"/>
        <v/>
      </c>
      <c r="N935" s="57" t="str">
        <f t="shared" si="246"/>
        <v/>
      </c>
      <c r="O935" s="58" t="str">
        <f t="shared" si="246"/>
        <v/>
      </c>
      <c r="P935" s="59">
        <f>IF(P934=0,"",P934/P932)</f>
        <v>0.66666666666666663</v>
      </c>
      <c r="Q935" s="60"/>
      <c r="R935" s="18"/>
    </row>
    <row r="936" spans="2:18" ht="15.75" customHeight="1" x14ac:dyDescent="0.2">
      <c r="B936" s="168" t="s">
        <v>103</v>
      </c>
      <c r="C936" s="30" t="s">
        <v>77</v>
      </c>
      <c r="D936" s="61">
        <f>VLOOKUP($B926,[1]Complaints!$A$4:$AJ$39,7,)</f>
        <v>0</v>
      </c>
      <c r="E936" s="43">
        <f>VLOOKUP($B926,[2]Complaints!$A$4:$AJ$39,7,)</f>
        <v>0</v>
      </c>
      <c r="F936" s="43">
        <f>VLOOKUP($B926,[3]Complaints!$A$4:$AJ$39,7,)</f>
        <v>0</v>
      </c>
      <c r="G936" s="43">
        <f>VLOOKUP($B926,[4]Complaints!$A$4:$AJ$39,7,)</f>
        <v>0</v>
      </c>
      <c r="H936" s="43">
        <f>VLOOKUP($B926,[5]Complaints!$A$4:$AJ$39,7,)</f>
        <v>0</v>
      </c>
      <c r="I936" s="43">
        <f>VLOOKUP($B926,[6]Complaints!$A$4:$AJ$39,7,)</f>
        <v>0</v>
      </c>
      <c r="J936" s="43">
        <f>VLOOKUP($B926,[7]Complaints!$A$4:$AJ$39,7,)</f>
        <v>0</v>
      </c>
      <c r="K936" s="43">
        <f>VLOOKUP($B926,[8]Complaints!$A$4:$AJ$39,7,)</f>
        <v>0</v>
      </c>
      <c r="L936" s="43">
        <f>VLOOKUP($B926,[9]Complaints!$A$4:$AJ$39,7,)</f>
        <v>0</v>
      </c>
      <c r="M936" s="43">
        <f>VLOOKUP($B926,[10]Complaints!$A$4:$AJ$39,7,)</f>
        <v>0</v>
      </c>
      <c r="N936" s="43">
        <f>VLOOKUP($B926,[11]Complaints!$A$4:$AJ$39,7,)</f>
        <v>0</v>
      </c>
      <c r="O936" s="44">
        <f>VLOOKUP($B926,[12]Complaints!$A$4:$AJ$39,7,)</f>
        <v>0</v>
      </c>
      <c r="P936" s="45">
        <f>SUM(D936:O936)</f>
        <v>0</v>
      </c>
      <c r="Q936" s="46" t="str">
        <f>IF(P936=0,"",P936/$P928)</f>
        <v/>
      </c>
      <c r="R936" s="18"/>
    </row>
    <row r="937" spans="2:18" ht="15.75" customHeight="1" x14ac:dyDescent="0.2">
      <c r="B937" s="169"/>
      <c r="C937" s="31" t="s">
        <v>89</v>
      </c>
      <c r="D937" s="47">
        <f>VLOOKUP($B926,[1]Complaints!$A$4:$AJ$39,8,)</f>
        <v>0</v>
      </c>
      <c r="E937" s="48">
        <f>VLOOKUP($B926,[2]Complaints!$A$4:$AJ$39,8,)</f>
        <v>1</v>
      </c>
      <c r="F937" s="48">
        <f>VLOOKUP($B926,[3]Complaints!$A$4:$AJ$39,8,)</f>
        <v>0</v>
      </c>
      <c r="G937" s="48">
        <f>VLOOKUP($B926,[4]Complaints!$A$4:$AJ$39,8,)</f>
        <v>1</v>
      </c>
      <c r="H937" s="48">
        <f>VLOOKUP($B926,[5]Complaints!$A$4:$AJ$39,8,)</f>
        <v>0</v>
      </c>
      <c r="I937" s="48">
        <f>VLOOKUP($B926,[6]Complaints!$A$4:$AJ$39,8,)</f>
        <v>1</v>
      </c>
      <c r="J937" s="48">
        <f>VLOOKUP($B926,[7]Complaints!$A$4:$AJ$39,8,)</f>
        <v>1</v>
      </c>
      <c r="K937" s="48">
        <f>VLOOKUP($B926,[8]Complaints!$A$4:$AJ$39,8,)</f>
        <v>0</v>
      </c>
      <c r="L937" s="48">
        <f>VLOOKUP($B926,[9]Complaints!$A$4:$AJ$39,8,)</f>
        <v>2</v>
      </c>
      <c r="M937" s="48">
        <f>VLOOKUP($B926,[10]Complaints!$A$4:$AJ$39,8,)</f>
        <v>0</v>
      </c>
      <c r="N937" s="48">
        <f>VLOOKUP($B926,[11]Complaints!$A$4:$AJ$39,8,)</f>
        <v>0</v>
      </c>
      <c r="O937" s="49">
        <f>VLOOKUP($B926,[12]Complaints!$A$4:$AJ$39,8,)</f>
        <v>0</v>
      </c>
      <c r="P937" s="55">
        <f t="shared" ref="P937:P938" si="247">SUM(D937:O937)</f>
        <v>6</v>
      </c>
      <c r="Q937" s="50">
        <f>IF(P937="","",P937/$P928)</f>
        <v>0.54545454545454541</v>
      </c>
      <c r="R937" s="18"/>
    </row>
    <row r="938" spans="2:18" ht="15.75" customHeight="1" x14ac:dyDescent="0.2">
      <c r="B938" s="169"/>
      <c r="C938" s="31" t="s">
        <v>88</v>
      </c>
      <c r="D938" s="47">
        <f>VLOOKUP($B926,[1]Complaints!$A$4:$AJ$39,9,)</f>
        <v>0</v>
      </c>
      <c r="E938" s="48">
        <f>VLOOKUP($B926,[2]Complaints!$A$4:$AJ$39,9,)</f>
        <v>0</v>
      </c>
      <c r="F938" s="48">
        <f>VLOOKUP($B926,[3]Complaints!$A$4:$AJ$39,9,)</f>
        <v>0</v>
      </c>
      <c r="G938" s="48">
        <f>VLOOKUP($B926,[4]Complaints!$A$4:$AJ$39,9,)</f>
        <v>0</v>
      </c>
      <c r="H938" s="48">
        <f>VLOOKUP($B926,[5]Complaints!$A$4:$AJ$39,9,)</f>
        <v>0</v>
      </c>
      <c r="I938" s="48">
        <f>VLOOKUP($B926,[6]Complaints!$A$4:$AJ$39,9,)</f>
        <v>0</v>
      </c>
      <c r="J938" s="48">
        <f>VLOOKUP($B926,[7]Complaints!$A$4:$AJ$39,9,)</f>
        <v>0</v>
      </c>
      <c r="K938" s="48">
        <f>VLOOKUP($B926,[8]Complaints!$A$4:$AJ$39,9,)</f>
        <v>0</v>
      </c>
      <c r="L938" s="48">
        <f>VLOOKUP($B926,[9]Complaints!$A$4:$AJ$39,9,)</f>
        <v>0</v>
      </c>
      <c r="M938" s="48">
        <f>VLOOKUP($B926,[10]Complaints!$A$4:$AJ$39,9,)</f>
        <v>0</v>
      </c>
      <c r="N938" s="48">
        <f>VLOOKUP($B926,[11]Complaints!$A$4:$AJ$39,9,)</f>
        <v>0</v>
      </c>
      <c r="O938" s="49">
        <f>VLOOKUP($B926,[12]Complaints!$A$4:$AJ$39,9,)</f>
        <v>0</v>
      </c>
      <c r="P938" s="55">
        <f t="shared" si="247"/>
        <v>0</v>
      </c>
      <c r="Q938" s="50" t="str">
        <f>IF(P938=0,"",P938/$P928)</f>
        <v/>
      </c>
      <c r="R938" s="18"/>
    </row>
    <row r="939" spans="2:18" ht="15.75" customHeight="1" x14ac:dyDescent="0.2">
      <c r="B939" s="169"/>
      <c r="C939" s="31" t="s">
        <v>13</v>
      </c>
      <c r="D939" s="47">
        <f>VLOOKUP($B926,[1]Complaints!$A$4:$AJ$39,10,)</f>
        <v>1</v>
      </c>
      <c r="E939" s="48">
        <f>VLOOKUP($B926,[2]Complaints!$A$4:$AJ$39,10,)</f>
        <v>0</v>
      </c>
      <c r="F939" s="48">
        <f>VLOOKUP($B926,[3]Complaints!$A$4:$AJ$39,10,)</f>
        <v>0</v>
      </c>
      <c r="G939" s="48">
        <f>VLOOKUP($B926,[4]Complaints!$A$4:$AJ$39,10,)</f>
        <v>0</v>
      </c>
      <c r="H939" s="48">
        <f>VLOOKUP($B926,[5]Complaints!$A$4:$AJ$39,10,)</f>
        <v>1</v>
      </c>
      <c r="I939" s="48">
        <f>VLOOKUP($B926,[6]Complaints!$A$4:$AJ$39,10,)</f>
        <v>0</v>
      </c>
      <c r="J939" s="48">
        <f>VLOOKUP($B926,[7]Complaints!$A$4:$AJ$39,10,)</f>
        <v>0</v>
      </c>
      <c r="K939" s="48">
        <f>VLOOKUP($B926,[8]Complaints!$A$4:$AJ$39,10,)</f>
        <v>0</v>
      </c>
      <c r="L939" s="48">
        <f>VLOOKUP($B926,[9]Complaints!$A$4:$AJ$39,10,)</f>
        <v>0</v>
      </c>
      <c r="M939" s="48">
        <f>VLOOKUP($B926,[10]Complaints!$A$4:$AJ$39,10,)</f>
        <v>0</v>
      </c>
      <c r="N939" s="48">
        <f>VLOOKUP($B926,[11]Complaints!$A$4:$AJ$39,10,)</f>
        <v>0</v>
      </c>
      <c r="O939" s="49">
        <f>VLOOKUP($B926,[12]Complaints!$A$4:$AJ$39,10,)</f>
        <v>0</v>
      </c>
      <c r="P939" s="55">
        <f>SUM(D939:O939)</f>
        <v>2</v>
      </c>
      <c r="Q939" s="50">
        <f>IF(P939=0,"",P939/$P928)</f>
        <v>0.18181818181818182</v>
      </c>
      <c r="R939" s="18"/>
    </row>
    <row r="940" spans="2:18" ht="15.75" customHeight="1" x14ac:dyDescent="0.2">
      <c r="B940" s="169"/>
      <c r="C940" s="31" t="s">
        <v>101</v>
      </c>
      <c r="D940" s="47">
        <f>VLOOKUP($B926,[1]Complaints!$A$4:$AJ$39,11,)</f>
        <v>0</v>
      </c>
      <c r="E940" s="48">
        <f>VLOOKUP($B926,[2]Complaints!$A$4:$AJ$39,11,)</f>
        <v>0</v>
      </c>
      <c r="F940" s="48">
        <f>VLOOKUP($B926,[3]Complaints!$A$4:$AJ$39,11,)</f>
        <v>0</v>
      </c>
      <c r="G940" s="48">
        <f>VLOOKUP($B926,[4]Complaints!$A$4:$AJ$39,11,)</f>
        <v>1</v>
      </c>
      <c r="H940" s="48">
        <f>VLOOKUP($B926,[5]Complaints!$A$4:$AJ$39,11,)</f>
        <v>0</v>
      </c>
      <c r="I940" s="48">
        <f>VLOOKUP($B926,[6]Complaints!$A$4:$AJ$39,11,)</f>
        <v>0</v>
      </c>
      <c r="J940" s="48">
        <f>VLOOKUP($B926,[7]Complaints!$A$4:$AJ$39,11,)</f>
        <v>0</v>
      </c>
      <c r="K940" s="48">
        <f>VLOOKUP($B926,[8]Complaints!$A$4:$AJ$39,11,)</f>
        <v>0</v>
      </c>
      <c r="L940" s="48">
        <f>VLOOKUP($B926,[9]Complaints!$A$4:$AJ$39,11,)</f>
        <v>0</v>
      </c>
      <c r="M940" s="48">
        <f>VLOOKUP($B926,[10]Complaints!$A$4:$AJ$39,11,)</f>
        <v>0</v>
      </c>
      <c r="N940" s="48">
        <f>VLOOKUP($B926,[11]Complaints!$A$4:$AJ$39,11,)</f>
        <v>0</v>
      </c>
      <c r="O940" s="49">
        <f>VLOOKUP($B926,[12]Complaints!$A$4:$AJ$39,11,)</f>
        <v>0</v>
      </c>
      <c r="P940" s="55">
        <f t="shared" ref="P940:P949" si="248">SUM(D940:O940)</f>
        <v>1</v>
      </c>
      <c r="Q940" s="50">
        <f>IF(P940=0,"",P940/$P928)</f>
        <v>9.0909090909090912E-2</v>
      </c>
      <c r="R940" s="18"/>
    </row>
    <row r="941" spans="2:18" s="19" customFormat="1" ht="15.75" customHeight="1" x14ac:dyDescent="0.2">
      <c r="B941" s="169"/>
      <c r="C941" s="31" t="s">
        <v>93</v>
      </c>
      <c r="D941" s="47">
        <f>VLOOKUP($B926,[1]Complaints!$A$4:$AJ$39,12,)</f>
        <v>0</v>
      </c>
      <c r="E941" s="48">
        <f>VLOOKUP($B926,[2]Complaints!$A$4:$AJ$39,12,)</f>
        <v>0</v>
      </c>
      <c r="F941" s="48">
        <f>VLOOKUP($B926,[3]Complaints!$A$4:$AJ$39,12,)</f>
        <v>0</v>
      </c>
      <c r="G941" s="48">
        <f>VLOOKUP($B926,[4]Complaints!$A$4:$AJ$39,12,)</f>
        <v>0</v>
      </c>
      <c r="H941" s="48">
        <f>VLOOKUP($B926,[5]Complaints!$A$4:$AJ$39,12,)</f>
        <v>0</v>
      </c>
      <c r="I941" s="48">
        <f>VLOOKUP($B926,[6]Complaints!$A$4:$AJ$39,12,)</f>
        <v>0</v>
      </c>
      <c r="J941" s="48">
        <f>VLOOKUP($B926,[7]Complaints!$A$4:$AJ$39,12,)</f>
        <v>0</v>
      </c>
      <c r="K941" s="48">
        <f>VLOOKUP($B926,[8]Complaints!$A$4:$AJ$39,12,)</f>
        <v>0</v>
      </c>
      <c r="L941" s="48">
        <f>VLOOKUP($B926,[9]Complaints!$A$4:$AJ$39,12,)</f>
        <v>0</v>
      </c>
      <c r="M941" s="48">
        <f>VLOOKUP($B926,[10]Complaints!$A$4:$AJ$39,12,)</f>
        <v>0</v>
      </c>
      <c r="N941" s="48">
        <f>VLOOKUP($B926,[11]Complaints!$A$4:$AJ$39,12,)</f>
        <v>0</v>
      </c>
      <c r="O941" s="49">
        <f>VLOOKUP($B926,[12]Complaints!$A$4:$AJ$39,12,)</f>
        <v>0</v>
      </c>
      <c r="P941" s="55">
        <f t="shared" si="248"/>
        <v>0</v>
      </c>
      <c r="Q941" s="50" t="str">
        <f>IF(P941=0,"",P941/$P928)</f>
        <v/>
      </c>
    </row>
    <row r="942" spans="2:18" ht="15.75" customHeight="1" x14ac:dyDescent="0.2">
      <c r="B942" s="169"/>
      <c r="C942" s="31" t="s">
        <v>78</v>
      </c>
      <c r="D942" s="47">
        <f>VLOOKUP($B926,[1]Complaints!$A$4:$AJ$39,13,)</f>
        <v>0</v>
      </c>
      <c r="E942" s="48">
        <f>VLOOKUP($B926,[2]Complaints!$A$4:$AJ$39,13,)</f>
        <v>0</v>
      </c>
      <c r="F942" s="48">
        <f>VLOOKUP($B926,[3]Complaints!$A$4:$AJ$39,13,)</f>
        <v>0</v>
      </c>
      <c r="G942" s="48">
        <f>VLOOKUP($B926,[4]Complaints!$A$4:$AJ$39,13,)</f>
        <v>0</v>
      </c>
      <c r="H942" s="48">
        <f>VLOOKUP($B926,[5]Complaints!$A$4:$AJ$39,13,)</f>
        <v>0</v>
      </c>
      <c r="I942" s="48">
        <f>VLOOKUP($B926,[6]Complaints!$A$4:$AJ$39,13,)</f>
        <v>0</v>
      </c>
      <c r="J942" s="48">
        <f>VLOOKUP($B926,[7]Complaints!$A$4:$AJ$39,13,)</f>
        <v>0</v>
      </c>
      <c r="K942" s="48">
        <f>VLOOKUP($B926,[8]Complaints!$A$4:$AJ$39,13,)</f>
        <v>0</v>
      </c>
      <c r="L942" s="48">
        <f>VLOOKUP($B926,[9]Complaints!$A$4:$AJ$39,13,)</f>
        <v>0</v>
      </c>
      <c r="M942" s="48">
        <f>VLOOKUP($B926,[10]Complaints!$A$4:$AJ$39,13,)</f>
        <v>0</v>
      </c>
      <c r="N942" s="48">
        <f>VLOOKUP($B926,[11]Complaints!$A$4:$AJ$39,13,)</f>
        <v>0</v>
      </c>
      <c r="O942" s="49">
        <f>VLOOKUP($B926,[12]Complaints!$A$4:$AJ$39,13,)</f>
        <v>0</v>
      </c>
      <c r="P942" s="55">
        <f t="shared" si="248"/>
        <v>0</v>
      </c>
      <c r="Q942" s="50" t="str">
        <f>IF(P942=0,"",P942/$P928)</f>
        <v/>
      </c>
      <c r="R942" s="18"/>
    </row>
    <row r="943" spans="2:18" ht="15.75" customHeight="1" x14ac:dyDescent="0.2">
      <c r="B943" s="169"/>
      <c r="C943" s="31" t="s">
        <v>92</v>
      </c>
      <c r="D943" s="47">
        <f>VLOOKUP($B926,[1]Complaints!$A$4:$AJ$39,14,)</f>
        <v>0</v>
      </c>
      <c r="E943" s="48">
        <f>VLOOKUP($B926,[2]Complaints!$A$4:$AJ$39,14,)</f>
        <v>0</v>
      </c>
      <c r="F943" s="48">
        <f>VLOOKUP($B926,[3]Complaints!$A$4:$AJ$39,14,)</f>
        <v>0</v>
      </c>
      <c r="G943" s="48">
        <f>VLOOKUP($B926,[4]Complaints!$A$4:$AJ$39,14,)</f>
        <v>0</v>
      </c>
      <c r="H943" s="48">
        <f>VLOOKUP($B926,[5]Complaints!$A$4:$AJ$39,14,)</f>
        <v>0</v>
      </c>
      <c r="I943" s="48">
        <f>VLOOKUP($B926,[6]Complaints!$A$4:$AJ$39,14,)</f>
        <v>0</v>
      </c>
      <c r="J943" s="48">
        <f>VLOOKUP($B926,[7]Complaints!$A$4:$AJ$39,14,)</f>
        <v>0</v>
      </c>
      <c r="K943" s="48">
        <f>VLOOKUP($B926,[8]Complaints!$A$4:$AJ$39,14,)</f>
        <v>0</v>
      </c>
      <c r="L943" s="48">
        <f>VLOOKUP($B926,[9]Complaints!$A$4:$AJ$39,14,)</f>
        <v>0</v>
      </c>
      <c r="M943" s="48">
        <f>VLOOKUP($B926,[10]Complaints!$A$4:$AJ$39,14,)</f>
        <v>0</v>
      </c>
      <c r="N943" s="48">
        <f>VLOOKUP($B926,[11]Complaints!$A$4:$AJ$39,14,)</f>
        <v>0</v>
      </c>
      <c r="O943" s="49">
        <f>VLOOKUP($B926,[12]Complaints!$A$4:$AJ$39,14,)</f>
        <v>0</v>
      </c>
      <c r="P943" s="55">
        <f t="shared" si="248"/>
        <v>0</v>
      </c>
      <c r="Q943" s="50" t="str">
        <f>IF(P943=0,"",P943/$P928)</f>
        <v/>
      </c>
      <c r="R943" s="18"/>
    </row>
    <row r="944" spans="2:18" ht="15.75" customHeight="1" x14ac:dyDescent="0.2">
      <c r="B944" s="169"/>
      <c r="C944" s="31" t="s">
        <v>91</v>
      </c>
      <c r="D944" s="47">
        <f>VLOOKUP($B926,[1]Complaints!$A$4:$AJ$39,15,)</f>
        <v>0</v>
      </c>
      <c r="E944" s="48">
        <f>VLOOKUP($B926,[2]Complaints!$A$4:$AJ$39,15,)</f>
        <v>0</v>
      </c>
      <c r="F944" s="48">
        <f>VLOOKUP($B926,[3]Complaints!$A$4:$AJ$39,15,)</f>
        <v>0</v>
      </c>
      <c r="G944" s="48">
        <f>VLOOKUP($B926,[4]Complaints!$A$4:$AJ$39,15,)</f>
        <v>0</v>
      </c>
      <c r="H944" s="48">
        <f>VLOOKUP($B926,[5]Complaints!$A$4:$AJ$39,15,)</f>
        <v>1</v>
      </c>
      <c r="I944" s="48">
        <f>VLOOKUP($B926,[6]Complaints!$A$4:$AJ$39,15,)</f>
        <v>0</v>
      </c>
      <c r="J944" s="48">
        <f>VLOOKUP($B926,[7]Complaints!$A$4:$AJ$39,15,)</f>
        <v>0</v>
      </c>
      <c r="K944" s="48">
        <f>VLOOKUP($B926,[8]Complaints!$A$4:$AJ$39,15,)</f>
        <v>0</v>
      </c>
      <c r="L944" s="48">
        <f>VLOOKUP($B926,[9]Complaints!$A$4:$AJ$39,15,)</f>
        <v>0</v>
      </c>
      <c r="M944" s="48">
        <f>VLOOKUP($B926,[10]Complaints!$A$4:$AJ$39,15,)</f>
        <v>0</v>
      </c>
      <c r="N944" s="48">
        <f>VLOOKUP($B926,[11]Complaints!$A$4:$AJ$39,15,)</f>
        <v>0</v>
      </c>
      <c r="O944" s="49">
        <f>VLOOKUP($B926,[12]Complaints!$A$4:$AJ$39,15,)</f>
        <v>0</v>
      </c>
      <c r="P944" s="55">
        <f t="shared" si="248"/>
        <v>1</v>
      </c>
      <c r="Q944" s="50">
        <f>IF(P944=0,"",P944/$P928)</f>
        <v>9.0909090909090912E-2</v>
      </c>
      <c r="R944" s="18"/>
    </row>
    <row r="945" spans="1:19" ht="15.75" customHeight="1" x14ac:dyDescent="0.2">
      <c r="B945" s="169"/>
      <c r="C945" s="31" t="s">
        <v>79</v>
      </c>
      <c r="D945" s="47">
        <f>VLOOKUP($B926,[1]Complaints!$A$4:$AJ$39,16,)</f>
        <v>0</v>
      </c>
      <c r="E945" s="48">
        <f>VLOOKUP($B926,[2]Complaints!$A$4:$AJ$39,16,)</f>
        <v>0</v>
      </c>
      <c r="F945" s="48">
        <f>VLOOKUP($B926,[3]Complaints!$A$4:$AJ$39,16,)</f>
        <v>0</v>
      </c>
      <c r="G945" s="48">
        <f>VLOOKUP($B926,[4]Complaints!$A$4:$AJ$39,16,)</f>
        <v>0</v>
      </c>
      <c r="H945" s="48">
        <f>VLOOKUP($B926,[5]Complaints!$A$4:$AJ$39,16,)</f>
        <v>0</v>
      </c>
      <c r="I945" s="48">
        <f>VLOOKUP($B926,[6]Complaints!$A$4:$AJ$39,16,)</f>
        <v>0</v>
      </c>
      <c r="J945" s="48">
        <f>VLOOKUP($B926,[7]Complaints!$A$4:$AJ$39,16,)</f>
        <v>0</v>
      </c>
      <c r="K945" s="48">
        <f>VLOOKUP($B926,[8]Complaints!$A$4:$AJ$39,16,)</f>
        <v>0</v>
      </c>
      <c r="L945" s="48">
        <f>VLOOKUP($B926,[9]Complaints!$A$4:$AJ$39,16,)</f>
        <v>0</v>
      </c>
      <c r="M945" s="48">
        <f>VLOOKUP($B926,[10]Complaints!$A$4:$AJ$39,16,)</f>
        <v>0</v>
      </c>
      <c r="N945" s="48">
        <f>VLOOKUP($B926,[11]Complaints!$A$4:$AJ$39,16,)</f>
        <v>0</v>
      </c>
      <c r="O945" s="49">
        <f>VLOOKUP($B926,[12]Complaints!$A$4:$AJ$39,16,)</f>
        <v>0</v>
      </c>
      <c r="P945" s="55">
        <f t="shared" si="248"/>
        <v>0</v>
      </c>
      <c r="Q945" s="50" t="str">
        <f>IF(P945=0,"",P945/$P928)</f>
        <v/>
      </c>
      <c r="R945" s="18"/>
    </row>
    <row r="946" spans="1:19" ht="15.75" customHeight="1" x14ac:dyDescent="0.2">
      <c r="B946" s="169"/>
      <c r="C946" s="31" t="s">
        <v>80</v>
      </c>
      <c r="D946" s="47">
        <f>VLOOKUP($B926,[1]Complaints!$A$4:$AJ$39,17,)</f>
        <v>0</v>
      </c>
      <c r="E946" s="48">
        <f>VLOOKUP($B926,[2]Complaints!$A$4:$AJ$39,17,)</f>
        <v>0</v>
      </c>
      <c r="F946" s="48">
        <f>VLOOKUP($B926,[3]Complaints!$A$4:$AJ$39,17,)</f>
        <v>0</v>
      </c>
      <c r="G946" s="48">
        <f>VLOOKUP($B926,[4]Complaints!$A$4:$AJ$39,17,)</f>
        <v>0</v>
      </c>
      <c r="H946" s="48">
        <f>VLOOKUP($B926,[5]Complaints!$A$4:$AJ$39,17,)</f>
        <v>0</v>
      </c>
      <c r="I946" s="48">
        <f>VLOOKUP($B926,[6]Complaints!$A$4:$AJ$39,17,)</f>
        <v>0</v>
      </c>
      <c r="J946" s="48">
        <f>VLOOKUP($B926,[7]Complaints!$A$4:$AJ$39,17,)</f>
        <v>0</v>
      </c>
      <c r="K946" s="48">
        <f>VLOOKUP($B926,[8]Complaints!$A$4:$AJ$39,17,)</f>
        <v>0</v>
      </c>
      <c r="L946" s="48">
        <f>VLOOKUP($B926,[9]Complaints!$A$4:$AJ$39,17,)</f>
        <v>0</v>
      </c>
      <c r="M946" s="48">
        <f>VLOOKUP($B926,[10]Complaints!$A$4:$AJ$39,17,)</f>
        <v>0</v>
      </c>
      <c r="N946" s="48">
        <f>VLOOKUP($B926,[11]Complaints!$A$4:$AJ$39,17,)</f>
        <v>0</v>
      </c>
      <c r="O946" s="49">
        <f>VLOOKUP($B926,[12]Complaints!$A$4:$AJ$39,17,)</f>
        <v>0</v>
      </c>
      <c r="P946" s="55">
        <f t="shared" si="248"/>
        <v>0</v>
      </c>
      <c r="Q946" s="50" t="str">
        <f>IF(P946=0,"",P946/$P928)</f>
        <v/>
      </c>
      <c r="R946" s="18"/>
    </row>
    <row r="947" spans="1:19" ht="15.75" customHeight="1" x14ac:dyDescent="0.2">
      <c r="B947" s="169"/>
      <c r="C947" s="31" t="s">
        <v>81</v>
      </c>
      <c r="D947" s="47">
        <f>VLOOKUP($B926,[1]Complaints!$A$4:$AJ$39,18,)</f>
        <v>0</v>
      </c>
      <c r="E947" s="48">
        <f>VLOOKUP($B926,[2]Complaints!$A$4:$AJ$39,18,)</f>
        <v>0</v>
      </c>
      <c r="F947" s="48">
        <f>VLOOKUP($B926,[3]Complaints!$A$4:$AJ$39,18,)</f>
        <v>0</v>
      </c>
      <c r="G947" s="48">
        <f>VLOOKUP($B926,[4]Complaints!$A$4:$AJ$39,18,)</f>
        <v>0</v>
      </c>
      <c r="H947" s="48">
        <f>VLOOKUP($B926,[5]Complaints!$A$4:$AJ$39,18,)</f>
        <v>0</v>
      </c>
      <c r="I947" s="48">
        <f>VLOOKUP($B926,[6]Complaints!$A$4:$AJ$39,18,)</f>
        <v>0</v>
      </c>
      <c r="J947" s="48">
        <f>VLOOKUP($B926,[7]Complaints!$A$4:$AJ$39,18,)</f>
        <v>0</v>
      </c>
      <c r="K947" s="48">
        <f>VLOOKUP($B926,[8]Complaints!$A$4:$AJ$39,18,)</f>
        <v>0</v>
      </c>
      <c r="L947" s="48">
        <f>VLOOKUP($B926,[9]Complaints!$A$4:$AJ$39,18,)</f>
        <v>0</v>
      </c>
      <c r="M947" s="48">
        <f>VLOOKUP($B926,[10]Complaints!$A$4:$AJ$39,18,)</f>
        <v>0</v>
      </c>
      <c r="N947" s="48">
        <f>VLOOKUP($B926,[11]Complaints!$A$4:$AJ$39,18,)</f>
        <v>0</v>
      </c>
      <c r="O947" s="49">
        <f>VLOOKUP($B926,[12]Complaints!$A$4:$AJ$39,18,)</f>
        <v>0</v>
      </c>
      <c r="P947" s="55">
        <f t="shared" si="248"/>
        <v>0</v>
      </c>
      <c r="Q947" s="50" t="str">
        <f>IF(P947=0,"",P947/$P928)</f>
        <v/>
      </c>
      <c r="R947" s="18"/>
    </row>
    <row r="948" spans="1:19" ht="15.75" customHeight="1" x14ac:dyDescent="0.2">
      <c r="B948" s="169"/>
      <c r="C948" s="31" t="s">
        <v>82</v>
      </c>
      <c r="D948" s="47">
        <f>VLOOKUP($B926,[1]Complaints!$A$4:$AJ$39,19,)</f>
        <v>0</v>
      </c>
      <c r="E948" s="48">
        <f>VLOOKUP($B926,[2]Complaints!$A$4:$AJ$39,19,)</f>
        <v>0</v>
      </c>
      <c r="F948" s="48">
        <f>VLOOKUP($B926,[3]Complaints!$A$4:$AJ$39,19,)</f>
        <v>0</v>
      </c>
      <c r="G948" s="48">
        <f>VLOOKUP($B926,[4]Complaints!$A$4:$AJ$39,19,)</f>
        <v>0</v>
      </c>
      <c r="H948" s="48">
        <f>VLOOKUP($B926,[5]Complaints!$A$4:$AJ$39,19,)</f>
        <v>0</v>
      </c>
      <c r="I948" s="48">
        <f>VLOOKUP($B926,[6]Complaints!$A$4:$AJ$39,19,)</f>
        <v>0</v>
      </c>
      <c r="J948" s="48">
        <f>VLOOKUP($B926,[7]Complaints!$A$4:$AJ$39,19,)</f>
        <v>0</v>
      </c>
      <c r="K948" s="48">
        <f>VLOOKUP($B926,[8]Complaints!$A$4:$AJ$39,19,)</f>
        <v>0</v>
      </c>
      <c r="L948" s="48">
        <f>VLOOKUP($B926,[9]Complaints!$A$4:$AJ$39,19,)</f>
        <v>0</v>
      </c>
      <c r="M948" s="48">
        <f>VLOOKUP($B926,[10]Complaints!$A$4:$AJ$39,19,)</f>
        <v>0</v>
      </c>
      <c r="N948" s="48">
        <f>VLOOKUP($B926,[11]Complaints!$A$4:$AJ$39,19,)</f>
        <v>0</v>
      </c>
      <c r="O948" s="49">
        <f>VLOOKUP($B926,[12]Complaints!$A$4:$AJ$39,19,)</f>
        <v>0</v>
      </c>
      <c r="P948" s="55">
        <f t="shared" si="248"/>
        <v>0</v>
      </c>
      <c r="Q948" s="50" t="str">
        <f>IF(P948=0,"",P948/$P928)</f>
        <v/>
      </c>
      <c r="R948" s="18"/>
    </row>
    <row r="949" spans="1:19" ht="15.75" customHeight="1" thickBot="1" x14ac:dyDescent="0.25">
      <c r="B949" s="170"/>
      <c r="C949" s="31" t="s">
        <v>83</v>
      </c>
      <c r="D949" s="47">
        <f>VLOOKUP($B926,[1]Complaints!$A$4:$AJ$39,20,)</f>
        <v>0</v>
      </c>
      <c r="E949" s="48">
        <f>VLOOKUP($B926,[2]Complaints!$A$4:$AJ$39,20,)</f>
        <v>0</v>
      </c>
      <c r="F949" s="48">
        <f>VLOOKUP($B926,[3]Complaints!$A$4:$AJ$39,20,)</f>
        <v>0</v>
      </c>
      <c r="G949" s="48">
        <f>VLOOKUP($B926,[4]Complaints!$A$4:$AJ$39,20,)</f>
        <v>0</v>
      </c>
      <c r="H949" s="48">
        <f>VLOOKUP($B926,[5]Complaints!$A$4:$AJ$39,20,)</f>
        <v>0</v>
      </c>
      <c r="I949" s="48">
        <f>VLOOKUP($B926,[6]Complaints!$A$4:$AJ$39,20,)</f>
        <v>0</v>
      </c>
      <c r="J949" s="48">
        <f>VLOOKUP($B926,[7]Complaints!$A$4:$AJ$39,20,)</f>
        <v>0</v>
      </c>
      <c r="K949" s="48">
        <f>VLOOKUP($B926,[8]Complaints!$A$4:$AJ$39,20,)</f>
        <v>0</v>
      </c>
      <c r="L949" s="48">
        <f>VLOOKUP($B926,[9]Complaints!$A$4:$AJ$39,20,)</f>
        <v>0</v>
      </c>
      <c r="M949" s="48">
        <f>VLOOKUP($B926,[10]Complaints!$A$4:$AJ$39,20,)</f>
        <v>0</v>
      </c>
      <c r="N949" s="48">
        <f>VLOOKUP($B926,[11]Complaints!$A$4:$AJ$39,20,)</f>
        <v>0</v>
      </c>
      <c r="O949" s="49">
        <f>VLOOKUP($B926,[12]Complaints!$A$4:$AJ$39,20,)</f>
        <v>0</v>
      </c>
      <c r="P949" s="55">
        <f t="shared" si="248"/>
        <v>0</v>
      </c>
      <c r="Q949" s="50" t="str">
        <f>IF(P949=0,"",P949/$P928)</f>
        <v/>
      </c>
      <c r="R949" s="18"/>
    </row>
    <row r="950" spans="1:19" ht="15.75" customHeight="1" x14ac:dyDescent="0.2">
      <c r="B950" s="144" t="s">
        <v>90</v>
      </c>
      <c r="C950" s="37" t="s">
        <v>118</v>
      </c>
      <c r="D950" s="62">
        <f>VLOOKUP($B926,[1]Complaints!$A$4:$AJ$39,21,)</f>
        <v>1</v>
      </c>
      <c r="E950" s="63">
        <f>VLOOKUP($B926,[2]Complaints!$A$4:$AJ$39,21,)</f>
        <v>0</v>
      </c>
      <c r="F950" s="63">
        <f>VLOOKUP($B926,[3]Complaints!$A$4:$AJ$39,21,)</f>
        <v>0</v>
      </c>
      <c r="G950" s="63">
        <f>VLOOKUP($B926,[4]Complaints!$A$4:$AJ$39,21,)</f>
        <v>1</v>
      </c>
      <c r="H950" s="63">
        <f>VLOOKUP($B926,[5]Complaints!$A$4:$AJ$39,21,)</f>
        <v>0</v>
      </c>
      <c r="I950" s="63">
        <f>VLOOKUP($B926,[6]Complaints!$A$4:$AJ$39,21,)</f>
        <v>1</v>
      </c>
      <c r="J950" s="63">
        <f>VLOOKUP($B926,[7]Complaints!$A$4:$AJ$39,21,)</f>
        <v>1</v>
      </c>
      <c r="K950" s="63">
        <f>VLOOKUP($B926,[8]Complaints!$A$4:$AJ$39,21,)</f>
        <v>1</v>
      </c>
      <c r="L950" s="63">
        <f>VLOOKUP($B926,[9]Complaints!$A$4:$AJ$39,21,)</f>
        <v>0</v>
      </c>
      <c r="M950" s="63">
        <f>VLOOKUP($B926,[10]Complaints!$A$4:$AJ$39,21,)</f>
        <v>0</v>
      </c>
      <c r="N950" s="63">
        <f>VLOOKUP($B926,[11]Complaints!$A$4:$AJ$39,21,)</f>
        <v>0</v>
      </c>
      <c r="O950" s="64">
        <f>VLOOKUP($B926,[12]Complaints!$A$4:$AJ$39,21,)</f>
        <v>0</v>
      </c>
      <c r="P950" s="65">
        <f>SUM(D950:O950)</f>
        <v>5</v>
      </c>
      <c r="Q950" s="46">
        <f>IF(P950=0,"",P950/$P934)</f>
        <v>0.83333333333333337</v>
      </c>
      <c r="R950" s="18"/>
    </row>
    <row r="951" spans="1:19" ht="15.75" customHeight="1" x14ac:dyDescent="0.2">
      <c r="B951" s="145"/>
      <c r="C951" s="38" t="s">
        <v>77</v>
      </c>
      <c r="D951" s="66">
        <f>VLOOKUP($B926,[1]Complaints!$A$4:$AJ$39,22,)</f>
        <v>0</v>
      </c>
      <c r="E951" s="67">
        <f>VLOOKUP($B926,[2]Complaints!$A$4:$AJ$39,22,)</f>
        <v>0</v>
      </c>
      <c r="F951" s="67">
        <f>VLOOKUP($B926,[3]Complaints!$A$4:$AJ$39,22,)</f>
        <v>0</v>
      </c>
      <c r="G951" s="67">
        <f>VLOOKUP($B926,[4]Complaints!$A$4:$AJ$39,22,)</f>
        <v>0</v>
      </c>
      <c r="H951" s="67">
        <f>VLOOKUP($B926,[5]Complaints!$A$4:$AJ$39,22,)</f>
        <v>0</v>
      </c>
      <c r="I951" s="67">
        <f>VLOOKUP($B926,[6]Complaints!$A$4:$AJ$39,22,)</f>
        <v>0</v>
      </c>
      <c r="J951" s="67">
        <f>VLOOKUP($B926,[7]Complaints!$A$4:$AJ$39,22,)</f>
        <v>0</v>
      </c>
      <c r="K951" s="67">
        <f>VLOOKUP($B926,[8]Complaints!$A$4:$AJ$39,22,)</f>
        <v>0</v>
      </c>
      <c r="L951" s="67">
        <f>VLOOKUP($B926,[9]Complaints!$A$4:$AJ$39,22,)</f>
        <v>0</v>
      </c>
      <c r="M951" s="67">
        <f>VLOOKUP($B926,[10]Complaints!$A$4:$AJ$39,22,)</f>
        <v>0</v>
      </c>
      <c r="N951" s="67">
        <f>VLOOKUP($B926,[11]Complaints!$A$4:$AJ$39,22,)</f>
        <v>0</v>
      </c>
      <c r="O951" s="68">
        <f>VLOOKUP($B926,[12]Complaints!$A$4:$AJ$39,22,)</f>
        <v>0</v>
      </c>
      <c r="P951" s="69">
        <f t="shared" ref="P951:P965" si="249">SUM(D951:O951)</f>
        <v>0</v>
      </c>
      <c r="Q951" s="70" t="str">
        <f>IF(P951=0,"",P951/$P934)</f>
        <v/>
      </c>
      <c r="R951" s="18"/>
    </row>
    <row r="952" spans="1:19" ht="15.75" customHeight="1" x14ac:dyDescent="0.2">
      <c r="B952" s="145"/>
      <c r="C952" s="38" t="s">
        <v>108</v>
      </c>
      <c r="D952" s="66">
        <f>VLOOKUP($B926,[1]Complaints!$A$4:$AJ$39,23,)</f>
        <v>1</v>
      </c>
      <c r="E952" s="67">
        <f>VLOOKUP($B926,[2]Complaints!$A$4:$AJ$39,23,)</f>
        <v>0</v>
      </c>
      <c r="F952" s="67">
        <f>VLOOKUP($B926,[3]Complaints!$A$4:$AJ$39,23,)</f>
        <v>0</v>
      </c>
      <c r="G952" s="67">
        <f>VLOOKUP($B926,[4]Complaints!$A$4:$AJ$39,23,)</f>
        <v>1</v>
      </c>
      <c r="H952" s="67">
        <f>VLOOKUP($B926,[5]Complaints!$A$4:$AJ$39,23,)</f>
        <v>0</v>
      </c>
      <c r="I952" s="67">
        <f>VLOOKUP($B926,[6]Complaints!$A$4:$AJ$39,23,)</f>
        <v>1</v>
      </c>
      <c r="J952" s="67">
        <f>VLOOKUP($B926,[7]Complaints!$A$4:$AJ$39,23,)</f>
        <v>1</v>
      </c>
      <c r="K952" s="67">
        <f>VLOOKUP($B926,[8]Complaints!$A$4:$AJ$39,23,)</f>
        <v>1</v>
      </c>
      <c r="L952" s="67">
        <f>VLOOKUP($B926,[9]Complaints!$A$4:$AJ$39,23,)</f>
        <v>0</v>
      </c>
      <c r="M952" s="67">
        <f>VLOOKUP($B926,[10]Complaints!$A$4:$AJ$39,23,)</f>
        <v>0</v>
      </c>
      <c r="N952" s="67">
        <f>VLOOKUP($B926,[11]Complaints!$A$4:$AJ$39,23,)</f>
        <v>0</v>
      </c>
      <c r="O952" s="68">
        <f>VLOOKUP($B926,[12]Complaints!$A$4:$AJ$39,23,)</f>
        <v>0</v>
      </c>
      <c r="P952" s="69">
        <f t="shared" si="249"/>
        <v>5</v>
      </c>
      <c r="Q952" s="70">
        <f>IF(P952=0,"",P952/$P934)</f>
        <v>0.83333333333333337</v>
      </c>
      <c r="R952" s="18"/>
    </row>
    <row r="953" spans="1:19" ht="15.75" customHeight="1" x14ac:dyDescent="0.2">
      <c r="B953" s="145"/>
      <c r="C953" s="38" t="s">
        <v>88</v>
      </c>
      <c r="D953" s="66">
        <f>VLOOKUP($B926,[1]Complaints!$A$4:$AJ$39,24,)</f>
        <v>0</v>
      </c>
      <c r="E953" s="67">
        <f>VLOOKUP($B926,[2]Complaints!$A$4:$AJ$39,24,)</f>
        <v>0</v>
      </c>
      <c r="F953" s="67">
        <f>VLOOKUP($B926,[3]Complaints!$A$4:$AJ$39,24,)</f>
        <v>0</v>
      </c>
      <c r="G953" s="67">
        <f>VLOOKUP($B926,[4]Complaints!$A$4:$AJ$39,24,)</f>
        <v>0</v>
      </c>
      <c r="H953" s="67">
        <f>VLOOKUP($B926,[5]Complaints!$A$4:$AJ$39,24,)</f>
        <v>0</v>
      </c>
      <c r="I953" s="67">
        <f>VLOOKUP($B926,[6]Complaints!$A$4:$AJ$39,24,)</f>
        <v>0</v>
      </c>
      <c r="J953" s="67">
        <f>VLOOKUP($B926,[7]Complaints!$A$4:$AJ$39,24,)</f>
        <v>0</v>
      </c>
      <c r="K953" s="67">
        <f>VLOOKUP($B926,[8]Complaints!$A$4:$AJ$39,24,)</f>
        <v>0</v>
      </c>
      <c r="L953" s="67">
        <f>VLOOKUP($B926,[9]Complaints!$A$4:$AJ$39,24,)</f>
        <v>0</v>
      </c>
      <c r="M953" s="67">
        <f>VLOOKUP($B926,[10]Complaints!$A$4:$AJ$39,24,)</f>
        <v>0</v>
      </c>
      <c r="N953" s="67">
        <f>VLOOKUP($B926,[11]Complaints!$A$4:$AJ$39,24,)</f>
        <v>0</v>
      </c>
      <c r="O953" s="68">
        <f>VLOOKUP($B926,[12]Complaints!$A$4:$AJ$39,24,)</f>
        <v>0</v>
      </c>
      <c r="P953" s="69">
        <f t="shared" si="249"/>
        <v>0</v>
      </c>
      <c r="Q953" s="70" t="str">
        <f>IF(P953=0,"",P953/$P934)</f>
        <v/>
      </c>
      <c r="R953" s="18"/>
    </row>
    <row r="954" spans="1:19" ht="15.75" customHeight="1" x14ac:dyDescent="0.2">
      <c r="B954" s="145"/>
      <c r="C954" s="38" t="s">
        <v>109</v>
      </c>
      <c r="D954" s="66">
        <f>VLOOKUP($B926,[1]Complaints!$A$4:$AJ$39,25,)</f>
        <v>0</v>
      </c>
      <c r="E954" s="67">
        <f>VLOOKUP($B926,[2]Complaints!$A$4:$AJ$39,25,)</f>
        <v>0</v>
      </c>
      <c r="F954" s="67">
        <f>VLOOKUP($B926,[3]Complaints!$A$4:$AJ$39,25,)</f>
        <v>0</v>
      </c>
      <c r="G954" s="67">
        <f>VLOOKUP($B926,[4]Complaints!$A$4:$AJ$39,25,)</f>
        <v>0</v>
      </c>
      <c r="H954" s="67">
        <f>VLOOKUP($B926,[5]Complaints!$A$4:$AJ$39,25,)</f>
        <v>0</v>
      </c>
      <c r="I954" s="67">
        <f>VLOOKUP($B926,[6]Complaints!$A$4:$AJ$39,25,)</f>
        <v>0</v>
      </c>
      <c r="J954" s="67">
        <f>VLOOKUP($B926,[7]Complaints!$A$4:$AJ$39,25,)</f>
        <v>0</v>
      </c>
      <c r="K954" s="67">
        <f>VLOOKUP($B926,[8]Complaints!$A$4:$AJ$39,25,)</f>
        <v>0</v>
      </c>
      <c r="L954" s="67">
        <f>VLOOKUP($B926,[9]Complaints!$A$4:$AJ$39,25,)</f>
        <v>0</v>
      </c>
      <c r="M954" s="67">
        <f>VLOOKUP($B926,[10]Complaints!$A$4:$AJ$39,25,)</f>
        <v>0</v>
      </c>
      <c r="N954" s="67">
        <f>VLOOKUP($B926,[11]Complaints!$A$4:$AJ$39,25,)</f>
        <v>0</v>
      </c>
      <c r="O954" s="68">
        <f>VLOOKUP($B926,[12]Complaints!$A$4:$AJ$39,25,)</f>
        <v>0</v>
      </c>
      <c r="P954" s="69">
        <f t="shared" si="249"/>
        <v>0</v>
      </c>
      <c r="Q954" s="70" t="str">
        <f>IF(P954=0,"",P954/$P934)</f>
        <v/>
      </c>
      <c r="R954" s="18"/>
    </row>
    <row r="955" spans="1:19" ht="15.75" customHeight="1" x14ac:dyDescent="0.2">
      <c r="A955" s="21"/>
      <c r="B955" s="145"/>
      <c r="C955" s="38" t="s">
        <v>110</v>
      </c>
      <c r="D955" s="66">
        <f>VLOOKUP($B926,[1]Complaints!$A$4:$AJ$39,26,)</f>
        <v>0</v>
      </c>
      <c r="E955" s="67">
        <f>VLOOKUP($B926,[2]Complaints!$A$4:$AJ$39,26,)</f>
        <v>0</v>
      </c>
      <c r="F955" s="67">
        <f>VLOOKUP($B926,[3]Complaints!$A$4:$AJ$39,26,)</f>
        <v>0</v>
      </c>
      <c r="G955" s="67">
        <f>VLOOKUP($B926,[4]Complaints!$A$4:$AJ$39,26,)</f>
        <v>0</v>
      </c>
      <c r="H955" s="67">
        <f>VLOOKUP($B926,[5]Complaints!$A$4:$AJ$39,26,)</f>
        <v>0</v>
      </c>
      <c r="I955" s="67">
        <f>VLOOKUP($B926,[6]Complaints!$A$4:$AJ$39,26,)</f>
        <v>0</v>
      </c>
      <c r="J955" s="67">
        <f>VLOOKUP($B926,[7]Complaints!$A$4:$AJ$39,26,)</f>
        <v>0</v>
      </c>
      <c r="K955" s="67">
        <f>VLOOKUP($B926,[8]Complaints!$A$4:$AJ$39,26,)</f>
        <v>0</v>
      </c>
      <c r="L955" s="67">
        <f>VLOOKUP($B926,[9]Complaints!$A$4:$AJ$39,26,)</f>
        <v>0</v>
      </c>
      <c r="M955" s="67">
        <f>VLOOKUP($B926,[10]Complaints!$A$4:$AJ$39,26,)</f>
        <v>0</v>
      </c>
      <c r="N955" s="67">
        <f>VLOOKUP($B926,[11]Complaints!$A$4:$AJ$39,26,)</f>
        <v>0</v>
      </c>
      <c r="O955" s="68">
        <f>VLOOKUP($B926,[12]Complaints!$A$4:$AJ$39,26,)</f>
        <v>0</v>
      </c>
      <c r="P955" s="69">
        <f t="shared" si="249"/>
        <v>0</v>
      </c>
      <c r="Q955" s="70" t="str">
        <f>IF(P955=0,"",P955/$P934)</f>
        <v/>
      </c>
      <c r="R955" s="18"/>
    </row>
    <row r="956" spans="1:19" s="21" customFormat="1" ht="15.75" customHeight="1" x14ac:dyDescent="0.2">
      <c r="B956" s="145"/>
      <c r="C956" s="39" t="s">
        <v>107</v>
      </c>
      <c r="D956" s="71">
        <f>VLOOKUP($B926,[1]Complaints!$A$4:$AJ$39,27,)</f>
        <v>0</v>
      </c>
      <c r="E956" s="72">
        <f>VLOOKUP($B926,[2]Complaints!$A$4:$AJ$39,27,)</f>
        <v>0</v>
      </c>
      <c r="F956" s="72">
        <f>VLOOKUP($B926,[3]Complaints!$A$4:$AJ$39,27,)</f>
        <v>0</v>
      </c>
      <c r="G956" s="72">
        <f>VLOOKUP($B926,[4]Complaints!$A$4:$AJ$39,27,)</f>
        <v>0</v>
      </c>
      <c r="H956" s="72">
        <f>VLOOKUP($B926,[5]Complaints!$A$4:$AJ$39,27,)</f>
        <v>0</v>
      </c>
      <c r="I956" s="72">
        <f>VLOOKUP($B926,[6]Complaints!$A$4:$AJ$39,27,)</f>
        <v>0</v>
      </c>
      <c r="J956" s="72">
        <f>VLOOKUP($B926,[7]Complaints!$A$4:$AJ$39,27,)</f>
        <v>0</v>
      </c>
      <c r="K956" s="72">
        <f>VLOOKUP($B926,[8]Complaints!$A$4:$AJ$39,27,)</f>
        <v>0</v>
      </c>
      <c r="L956" s="72">
        <f>VLOOKUP($B926,[9]Complaints!$A$4:$AJ$39,27,)</f>
        <v>0</v>
      </c>
      <c r="M956" s="72">
        <f>VLOOKUP($B926,[10]Complaints!$A$4:$AJ$39,27,)</f>
        <v>0</v>
      </c>
      <c r="N956" s="72">
        <f>VLOOKUP($B926,[11]Complaints!$A$4:$AJ$39,27,)</f>
        <v>0</v>
      </c>
      <c r="O956" s="73">
        <f>VLOOKUP($B926,[12]Complaints!$A$4:$AJ$39,27,)</f>
        <v>0</v>
      </c>
      <c r="P956" s="69">
        <f t="shared" si="249"/>
        <v>0</v>
      </c>
      <c r="Q956" s="70" t="str">
        <f>IF(P956=0,"",P956/$P934)</f>
        <v/>
      </c>
      <c r="S956" s="18"/>
    </row>
    <row r="957" spans="1:19" ht="15.75" customHeight="1" x14ac:dyDescent="0.2">
      <c r="B957" s="145"/>
      <c r="C957" s="39" t="s">
        <v>87</v>
      </c>
      <c r="D957" s="71">
        <f>VLOOKUP($B926,[1]Complaints!$A$4:$AJ$39,28,)</f>
        <v>0</v>
      </c>
      <c r="E957" s="72">
        <f>VLOOKUP($B926,[2]Complaints!$A$4:$AJ$39,28,)</f>
        <v>0</v>
      </c>
      <c r="F957" s="72">
        <f>VLOOKUP($B926,[3]Complaints!$A$4:$AJ$39,28,)</f>
        <v>0</v>
      </c>
      <c r="G957" s="72">
        <f>VLOOKUP($B926,[4]Complaints!$A$4:$AJ$39,28,)</f>
        <v>0</v>
      </c>
      <c r="H957" s="72">
        <f>VLOOKUP($B926,[5]Complaints!$A$4:$AJ$39,28,)</f>
        <v>0</v>
      </c>
      <c r="I957" s="72">
        <f>VLOOKUP($B926,[6]Complaints!$A$4:$AJ$39,28,)</f>
        <v>0</v>
      </c>
      <c r="J957" s="72">
        <f>VLOOKUP($B926,[7]Complaints!$A$4:$AJ$39,28,)</f>
        <v>0</v>
      </c>
      <c r="K957" s="72">
        <f>VLOOKUP($B926,[8]Complaints!$A$4:$AJ$39,28,)</f>
        <v>0</v>
      </c>
      <c r="L957" s="72">
        <f>VLOOKUP($B926,[9]Complaints!$A$4:$AJ$39,28,)</f>
        <v>0</v>
      </c>
      <c r="M957" s="72">
        <f>VLOOKUP($B926,[10]Complaints!$A$4:$AJ$39,28,)</f>
        <v>0</v>
      </c>
      <c r="N957" s="72">
        <f>VLOOKUP($B926,[11]Complaints!$A$4:$AJ$39,28,)</f>
        <v>0</v>
      </c>
      <c r="O957" s="73">
        <f>VLOOKUP($B926,[12]Complaints!$A$4:$AJ$39,28,)</f>
        <v>0</v>
      </c>
      <c r="P957" s="69">
        <f t="shared" si="249"/>
        <v>0</v>
      </c>
      <c r="Q957" s="70" t="str">
        <f>IF(P957=0,"",P957/$P934)</f>
        <v/>
      </c>
      <c r="R957" s="18"/>
    </row>
    <row r="958" spans="1:19" ht="15.75" customHeight="1" x14ac:dyDescent="0.2">
      <c r="B958" s="145"/>
      <c r="C958" s="38" t="s">
        <v>111</v>
      </c>
      <c r="D958" s="66">
        <f>VLOOKUP($B926,[1]Complaints!$A$4:$AJ$39,29,)</f>
        <v>0</v>
      </c>
      <c r="E958" s="67">
        <f>VLOOKUP($B926,[2]Complaints!$A$4:$AJ$39,29,)</f>
        <v>0</v>
      </c>
      <c r="F958" s="67">
        <f>VLOOKUP($B926,[3]Complaints!$A$4:$AJ$39,29,)</f>
        <v>0</v>
      </c>
      <c r="G958" s="67">
        <f>VLOOKUP($B926,[4]Complaints!$A$4:$AJ$39,29,)</f>
        <v>0</v>
      </c>
      <c r="H958" s="67">
        <f>VLOOKUP($B926,[5]Complaints!$A$4:$AJ$39,29,)</f>
        <v>0</v>
      </c>
      <c r="I958" s="67">
        <f>VLOOKUP($B926,[6]Complaints!$A$4:$AJ$39,29,)</f>
        <v>0</v>
      </c>
      <c r="J958" s="67">
        <f>VLOOKUP($B926,[7]Complaints!$A$4:$AJ$39,29,)</f>
        <v>0</v>
      </c>
      <c r="K958" s="67">
        <f>VLOOKUP($B926,[8]Complaints!$A$4:$AJ$39,29,)</f>
        <v>0</v>
      </c>
      <c r="L958" s="67">
        <f>VLOOKUP($B926,[9]Complaints!$A$4:$AJ$39,29,)</f>
        <v>0</v>
      </c>
      <c r="M958" s="67">
        <f>VLOOKUP($B926,[10]Complaints!$A$4:$AJ$39,29,)</f>
        <v>0</v>
      </c>
      <c r="N958" s="67">
        <f>VLOOKUP($B926,[11]Complaints!$A$4:$AJ$39,29,)</f>
        <v>0</v>
      </c>
      <c r="O958" s="68">
        <f>VLOOKUP($B926,[12]Complaints!$A$4:$AJ$39,29,)</f>
        <v>0</v>
      </c>
      <c r="P958" s="69">
        <f t="shared" si="249"/>
        <v>0</v>
      </c>
      <c r="Q958" s="70" t="str">
        <f>IF(P958=0,"",P958/$P934)</f>
        <v/>
      </c>
      <c r="R958" s="18"/>
    </row>
    <row r="959" spans="1:19" ht="15.75" customHeight="1" x14ac:dyDescent="0.2">
      <c r="B959" s="145"/>
      <c r="C959" s="38" t="s">
        <v>112</v>
      </c>
      <c r="D959" s="66">
        <f>VLOOKUP($B926,[1]Complaints!$A$4:$AJ$39,30,)</f>
        <v>0</v>
      </c>
      <c r="E959" s="67">
        <f>VLOOKUP($B926,[2]Complaints!$A$4:$AJ$39,30,)</f>
        <v>0</v>
      </c>
      <c r="F959" s="67">
        <f>VLOOKUP($B926,[3]Complaints!$A$4:$AJ$39,30,)</f>
        <v>0</v>
      </c>
      <c r="G959" s="67">
        <f>VLOOKUP($B926,[4]Complaints!$A$4:$AJ$39,30,)</f>
        <v>0</v>
      </c>
      <c r="H959" s="67">
        <f>VLOOKUP($B926,[5]Complaints!$A$4:$AJ$39,30,)</f>
        <v>0</v>
      </c>
      <c r="I959" s="67">
        <f>VLOOKUP($B926,[6]Complaints!$A$4:$AJ$39,30,)</f>
        <v>0</v>
      </c>
      <c r="J959" s="67">
        <f>VLOOKUP($B926,[7]Complaints!$A$4:$AJ$39,30,)</f>
        <v>0</v>
      </c>
      <c r="K959" s="67">
        <f>VLOOKUP($B926,[8]Complaints!$A$4:$AJ$39,30,)</f>
        <v>0</v>
      </c>
      <c r="L959" s="67">
        <f>VLOOKUP($B926,[9]Complaints!$A$4:$AJ$39,30,)</f>
        <v>0</v>
      </c>
      <c r="M959" s="67">
        <f>VLOOKUP($B926,[10]Complaints!$A$4:$AJ$39,30,)</f>
        <v>0</v>
      </c>
      <c r="N959" s="67">
        <f>VLOOKUP($B926,[11]Complaints!$A$4:$AJ$39,30,)</f>
        <v>0</v>
      </c>
      <c r="O959" s="68">
        <f>VLOOKUP($B926,[12]Complaints!$A$4:$AJ$39,30,)</f>
        <v>0</v>
      </c>
      <c r="P959" s="69">
        <f t="shared" si="249"/>
        <v>0</v>
      </c>
      <c r="Q959" s="70" t="str">
        <f>IF(P959=0,"",P959/$P934)</f>
        <v/>
      </c>
      <c r="R959" s="18"/>
    </row>
    <row r="960" spans="1:19" ht="15.75" customHeight="1" x14ac:dyDescent="0.2">
      <c r="B960" s="146"/>
      <c r="C960" s="40" t="s">
        <v>119</v>
      </c>
      <c r="D960" s="74">
        <f>VLOOKUP($B926,[1]Complaints!$A$4:$AJ$39,31,)</f>
        <v>0</v>
      </c>
      <c r="E960" s="75">
        <f>VLOOKUP($B926,[2]Complaints!$A$4:$AJ$39,31,)</f>
        <v>0</v>
      </c>
      <c r="F960" s="75">
        <f>VLOOKUP($B926,[3]Complaints!$A$4:$AJ$39,31,)</f>
        <v>0</v>
      </c>
      <c r="G960" s="75">
        <f>VLOOKUP($B926,[4]Complaints!$A$4:$AJ$39,31,)</f>
        <v>0</v>
      </c>
      <c r="H960" s="75">
        <f>VLOOKUP($B926,[5]Complaints!$A$4:$AJ$39,31,)</f>
        <v>1</v>
      </c>
      <c r="I960" s="75">
        <f>VLOOKUP($B926,[6]Complaints!$A$4:$AJ$39,31,)</f>
        <v>0</v>
      </c>
      <c r="J960" s="75">
        <f>VLOOKUP($B926,[7]Complaints!$A$4:$AJ$39,31,)</f>
        <v>0</v>
      </c>
      <c r="K960" s="75">
        <f>VLOOKUP($B926,[8]Complaints!$A$4:$AJ$39,31,)</f>
        <v>0</v>
      </c>
      <c r="L960" s="75">
        <f>VLOOKUP($B926,[9]Complaints!$A$4:$AJ$39,31,)</f>
        <v>0</v>
      </c>
      <c r="M960" s="75">
        <f>VLOOKUP($B926,[10]Complaints!$A$4:$AJ$39,31,)</f>
        <v>0</v>
      </c>
      <c r="N960" s="75">
        <f>VLOOKUP($B926,[11]Complaints!$A$4:$AJ$39,31,)</f>
        <v>0</v>
      </c>
      <c r="O960" s="76">
        <f>VLOOKUP($B926,[12]Complaints!$A$4:$AJ$39,31,)</f>
        <v>0</v>
      </c>
      <c r="P960" s="77">
        <f t="shared" si="249"/>
        <v>1</v>
      </c>
      <c r="Q960" s="50">
        <f>IF(P960=0,"",P960/$P934)</f>
        <v>0.16666666666666666</v>
      </c>
      <c r="R960" s="18"/>
    </row>
    <row r="961" spans="2:18" ht="15.75" customHeight="1" x14ac:dyDescent="0.2">
      <c r="B961" s="146"/>
      <c r="C961" s="38" t="s">
        <v>113</v>
      </c>
      <c r="D961" s="66">
        <f>VLOOKUP($B926,[1]Complaints!$A$4:$AJ$39,32,)</f>
        <v>0</v>
      </c>
      <c r="E961" s="67">
        <f>VLOOKUP($B926,[2]Complaints!$A$4:$AJ$39,32,)</f>
        <v>0</v>
      </c>
      <c r="F961" s="67">
        <f>VLOOKUP($B926,[3]Complaints!$A$4:$AJ$39,32,)</f>
        <v>0</v>
      </c>
      <c r="G961" s="67">
        <f>VLOOKUP($B926,[4]Complaints!$A$4:$AJ$39,32,)</f>
        <v>0</v>
      </c>
      <c r="H961" s="67">
        <f>VLOOKUP($B926,[5]Complaints!$A$4:$AJ$39,32,)</f>
        <v>1</v>
      </c>
      <c r="I961" s="67">
        <f>VLOOKUP($B926,[6]Complaints!$A$4:$AJ$39,32,)</f>
        <v>0</v>
      </c>
      <c r="J961" s="67">
        <f>VLOOKUP($B926,[7]Complaints!$A$4:$AJ$39,32,)</f>
        <v>0</v>
      </c>
      <c r="K961" s="67">
        <f>VLOOKUP($B926,[8]Complaints!$A$4:$AJ$39,32,)</f>
        <v>0</v>
      </c>
      <c r="L961" s="67">
        <f>VLOOKUP($B926,[9]Complaints!$A$4:$AJ$39,32,)</f>
        <v>0</v>
      </c>
      <c r="M961" s="67">
        <f>VLOOKUP($B926,[10]Complaints!$A$4:$AJ$39,32,)</f>
        <v>0</v>
      </c>
      <c r="N961" s="67">
        <f>VLOOKUP($B926,[11]Complaints!$A$4:$AJ$39,32,)</f>
        <v>0</v>
      </c>
      <c r="O961" s="68">
        <f>VLOOKUP($B926,[12]Complaints!$A$4:$AJ$39,32,)</f>
        <v>0</v>
      </c>
      <c r="P961" s="69">
        <f t="shared" si="249"/>
        <v>1</v>
      </c>
      <c r="Q961" s="70">
        <f>IF(P961=0,"",P961/$P934)</f>
        <v>0.16666666666666666</v>
      </c>
      <c r="R961" s="18"/>
    </row>
    <row r="962" spans="2:18" ht="15.75" customHeight="1" x14ac:dyDescent="0.2">
      <c r="B962" s="146"/>
      <c r="C962" s="38" t="s">
        <v>114</v>
      </c>
      <c r="D962" s="66">
        <f>VLOOKUP($B926,[1]Complaints!$A$4:$AJ$39,33,)</f>
        <v>0</v>
      </c>
      <c r="E962" s="67">
        <f>VLOOKUP($B926,[2]Complaints!$A$4:$AJ$39,33,)</f>
        <v>0</v>
      </c>
      <c r="F962" s="67">
        <f>VLOOKUP($B926,[3]Complaints!$A$4:$AJ$39,33,)</f>
        <v>0</v>
      </c>
      <c r="G962" s="67">
        <f>VLOOKUP($B926,[4]Complaints!$A$4:$AJ$39,33,)</f>
        <v>0</v>
      </c>
      <c r="H962" s="67">
        <f>VLOOKUP($B926,[5]Complaints!$A$4:$AJ$39,33,)</f>
        <v>0</v>
      </c>
      <c r="I962" s="67">
        <f>VLOOKUP($B926,[6]Complaints!$A$4:$AJ$39,33,)</f>
        <v>0</v>
      </c>
      <c r="J962" s="67">
        <f>VLOOKUP($B926,[7]Complaints!$A$4:$AJ$39,33,)</f>
        <v>0</v>
      </c>
      <c r="K962" s="67">
        <f>VLOOKUP($B926,[8]Complaints!$A$4:$AJ$39,33,)</f>
        <v>0</v>
      </c>
      <c r="L962" s="67">
        <f>VLOOKUP($B926,[9]Complaints!$A$4:$AJ$39,33,)</f>
        <v>0</v>
      </c>
      <c r="M962" s="67">
        <f>VLOOKUP($B926,[10]Complaints!$A$4:$AJ$39,33,)</f>
        <v>0</v>
      </c>
      <c r="N962" s="67">
        <f>VLOOKUP($B926,[11]Complaints!$A$4:$AJ$39,33,)</f>
        <v>0</v>
      </c>
      <c r="O962" s="68">
        <f>VLOOKUP($B926,[12]Complaints!$A$4:$AJ$39,33,)</f>
        <v>0</v>
      </c>
      <c r="P962" s="69">
        <f t="shared" si="249"/>
        <v>0</v>
      </c>
      <c r="Q962" s="70" t="str">
        <f>IF(P962=0,"",P962/$P934)</f>
        <v/>
      </c>
      <c r="R962" s="18"/>
    </row>
    <row r="963" spans="2:18" ht="15.75" customHeight="1" x14ac:dyDescent="0.2">
      <c r="B963" s="146"/>
      <c r="C963" s="38" t="s">
        <v>115</v>
      </c>
      <c r="D963" s="66">
        <f>VLOOKUP($B926,[1]Complaints!$A$4:$AJ$39,34,)</f>
        <v>0</v>
      </c>
      <c r="E963" s="67">
        <f>VLOOKUP($B926,[2]Complaints!$A$4:$AJ$39,34,)</f>
        <v>0</v>
      </c>
      <c r="F963" s="67">
        <f>VLOOKUP($B926,[3]Complaints!$A$4:$AJ$39,34,)</f>
        <v>0</v>
      </c>
      <c r="G963" s="67">
        <f>VLOOKUP($B926,[4]Complaints!$A$4:$AJ$39,34,)</f>
        <v>0</v>
      </c>
      <c r="H963" s="67">
        <f>VLOOKUP($B926,[5]Complaints!$A$4:$AJ$39,34,)</f>
        <v>0</v>
      </c>
      <c r="I963" s="67">
        <f>VLOOKUP($B926,[6]Complaints!$A$4:$AJ$39,34,)</f>
        <v>0</v>
      </c>
      <c r="J963" s="67">
        <f>VLOOKUP($B926,[7]Complaints!$A$4:$AJ$39,34,)</f>
        <v>0</v>
      </c>
      <c r="K963" s="67">
        <f>VLOOKUP($B926,[8]Complaints!$A$4:$AJ$39,34,)</f>
        <v>0</v>
      </c>
      <c r="L963" s="67">
        <f>VLOOKUP($B926,[9]Complaints!$A$4:$AJ$39,34,)</f>
        <v>0</v>
      </c>
      <c r="M963" s="67">
        <f>VLOOKUP($B926,[10]Complaints!$A$4:$AJ$39,34,)</f>
        <v>0</v>
      </c>
      <c r="N963" s="67">
        <f>VLOOKUP($B926,[11]Complaints!$A$4:$AJ$39,34,)</f>
        <v>0</v>
      </c>
      <c r="O963" s="68">
        <f>VLOOKUP($B926,[12]Complaints!$A$4:$AJ$39,34,)</f>
        <v>0</v>
      </c>
      <c r="P963" s="69">
        <f t="shared" si="249"/>
        <v>0</v>
      </c>
      <c r="Q963" s="70" t="str">
        <f>IF(P963=0,"",P963/$P934)</f>
        <v/>
      </c>
      <c r="R963" s="18"/>
    </row>
    <row r="964" spans="2:18" ht="15.75" customHeight="1" x14ac:dyDescent="0.2">
      <c r="B964" s="146"/>
      <c r="C964" s="38" t="s">
        <v>116</v>
      </c>
      <c r="D964" s="66">
        <f>VLOOKUP($B926,[1]Complaints!$A$4:$AJ$39,35,)</f>
        <v>0</v>
      </c>
      <c r="E964" s="67">
        <f>VLOOKUP($B926,[2]Complaints!$A$4:$AJ$39,35,)</f>
        <v>0</v>
      </c>
      <c r="F964" s="67">
        <f>VLOOKUP($B926,[3]Complaints!$A$4:$AJ$39,35,)</f>
        <v>0</v>
      </c>
      <c r="G964" s="67">
        <f>VLOOKUP($B926,[4]Complaints!$A$4:$AJ$39,35,)</f>
        <v>0</v>
      </c>
      <c r="H964" s="67">
        <f>VLOOKUP($B926,[5]Complaints!$A$4:$AJ$39,35,)</f>
        <v>0</v>
      </c>
      <c r="I964" s="67">
        <f>VLOOKUP($B926,[6]Complaints!$A$4:$AJ$39,35,)</f>
        <v>0</v>
      </c>
      <c r="J964" s="67">
        <f>VLOOKUP($B926,[7]Complaints!$A$4:$AJ$39,35,)</f>
        <v>0</v>
      </c>
      <c r="K964" s="67">
        <f>VLOOKUP($B926,[8]Complaints!$A$4:$AJ$39,35,)</f>
        <v>0</v>
      </c>
      <c r="L964" s="67">
        <f>VLOOKUP($B926,[9]Complaints!$A$4:$AJ$39,35,)</f>
        <v>0</v>
      </c>
      <c r="M964" s="67">
        <f>VLOOKUP($B926,[10]Complaints!$A$4:$AJ$39,35,)</f>
        <v>0</v>
      </c>
      <c r="N964" s="67">
        <f>VLOOKUP($B926,[11]Complaints!$A$4:$AJ$39,35,)</f>
        <v>0</v>
      </c>
      <c r="O964" s="68">
        <f>VLOOKUP($B926,[12]Complaints!$A$4:$AJ$39,35,)</f>
        <v>0</v>
      </c>
      <c r="P964" s="69">
        <f t="shared" si="249"/>
        <v>0</v>
      </c>
      <c r="Q964" s="70" t="str">
        <f>IF(P964=0,"",P964/$P934)</f>
        <v/>
      </c>
      <c r="R964" s="18"/>
    </row>
    <row r="965" spans="2:18" ht="15.75" customHeight="1" thickBot="1" x14ac:dyDescent="0.25">
      <c r="B965" s="147"/>
      <c r="C965" s="41" t="s">
        <v>117</v>
      </c>
      <c r="D965" s="78">
        <f>VLOOKUP($B926,[1]Complaints!$A$4:$AJ$39,36,)</f>
        <v>0</v>
      </c>
      <c r="E965" s="79">
        <f>VLOOKUP($B926,[2]Complaints!$A$4:$AJ$39,36,)</f>
        <v>0</v>
      </c>
      <c r="F965" s="79">
        <f>VLOOKUP($B926,[3]Complaints!$A$4:$AJ$39,36,)</f>
        <v>0</v>
      </c>
      <c r="G965" s="79">
        <f>VLOOKUP($B926,[4]Complaints!$A$4:$AJ$39,36,)</f>
        <v>0</v>
      </c>
      <c r="H965" s="79">
        <f>VLOOKUP($B926,[5]Complaints!$A$4:$AJ$39,36,)</f>
        <v>0</v>
      </c>
      <c r="I965" s="79">
        <f>VLOOKUP($B926,[6]Complaints!$A$4:$AJ$39,36,)</f>
        <v>0</v>
      </c>
      <c r="J965" s="79">
        <f>VLOOKUP($B926,[7]Complaints!$A$4:$AJ$39,36,)</f>
        <v>0</v>
      </c>
      <c r="K965" s="79">
        <f>VLOOKUP($B926,[8]Complaints!$A$4:$AJ$39,36,)</f>
        <v>0</v>
      </c>
      <c r="L965" s="79">
        <f>VLOOKUP($B926,[9]Complaints!$A$4:$AJ$39,36,)</f>
        <v>0</v>
      </c>
      <c r="M965" s="79">
        <f>VLOOKUP($B926,[10]Complaints!$A$4:$AJ$39,36,)</f>
        <v>0</v>
      </c>
      <c r="N965" s="79">
        <f>VLOOKUP($B926,[11]Complaints!$A$4:$AJ$39,36,)</f>
        <v>0</v>
      </c>
      <c r="O965" s="80">
        <f>VLOOKUP($B926,[12]Complaints!$A$4:$AJ$39,36,)</f>
        <v>0</v>
      </c>
      <c r="P965" s="81">
        <f t="shared" si="249"/>
        <v>0</v>
      </c>
      <c r="Q965" s="82" t="str">
        <f>IF(P965=0,"",P965/$P934)</f>
        <v/>
      </c>
      <c r="R965" s="18"/>
    </row>
    <row r="966" spans="2:18" ht="15.75" customHeight="1" thickBot="1" x14ac:dyDescent="0.25">
      <c r="R966" s="18"/>
    </row>
    <row r="967" spans="2:18" ht="15.75" customHeight="1" x14ac:dyDescent="0.25">
      <c r="B967" s="158" t="s">
        <v>30</v>
      </c>
      <c r="C967" s="159"/>
      <c r="D967" s="32" t="s">
        <v>0</v>
      </c>
      <c r="E967" s="20" t="s">
        <v>1</v>
      </c>
      <c r="F967" s="20" t="s">
        <v>2</v>
      </c>
      <c r="G967" s="20" t="s">
        <v>3</v>
      </c>
      <c r="H967" s="20" t="s">
        <v>4</v>
      </c>
      <c r="I967" s="20" t="s">
        <v>5</v>
      </c>
      <c r="J967" s="20" t="s">
        <v>6</v>
      </c>
      <c r="K967" s="20" t="s">
        <v>7</v>
      </c>
      <c r="L967" s="20" t="s">
        <v>8</v>
      </c>
      <c r="M967" s="20" t="s">
        <v>9</v>
      </c>
      <c r="N967" s="20" t="s">
        <v>10</v>
      </c>
      <c r="O967" s="33" t="s">
        <v>11</v>
      </c>
      <c r="P967" s="35" t="s">
        <v>12</v>
      </c>
      <c r="Q967" s="160" t="s">
        <v>104</v>
      </c>
      <c r="R967" s="18"/>
    </row>
    <row r="968" spans="2:18" ht="15.75" customHeight="1" thickBot="1" x14ac:dyDescent="0.3">
      <c r="B968" s="162" t="s">
        <v>53</v>
      </c>
      <c r="C968" s="163"/>
      <c r="D968" s="34">
        <v>2020</v>
      </c>
      <c r="E968" s="34">
        <v>2020</v>
      </c>
      <c r="F968" s="34">
        <v>2020</v>
      </c>
      <c r="G968" s="34">
        <v>2020</v>
      </c>
      <c r="H968" s="34">
        <v>2020</v>
      </c>
      <c r="I968" s="34">
        <v>2020</v>
      </c>
      <c r="J968" s="34">
        <v>2020</v>
      </c>
      <c r="K968" s="34">
        <v>2020</v>
      </c>
      <c r="L968" s="34">
        <v>2020</v>
      </c>
      <c r="M968" s="25">
        <v>2021</v>
      </c>
      <c r="N968" s="25">
        <v>2021</v>
      </c>
      <c r="O968" s="25">
        <v>2021</v>
      </c>
      <c r="P968" s="36" t="s">
        <v>122</v>
      </c>
      <c r="Q968" s="161"/>
      <c r="R968" s="18"/>
    </row>
    <row r="969" spans="2:18" ht="12.75" customHeight="1" thickBot="1" x14ac:dyDescent="0.25">
      <c r="B969" s="164" t="s">
        <v>38</v>
      </c>
      <c r="C969" s="165"/>
      <c r="D969" s="42">
        <f>VLOOKUP($B968,[1]Complaints!$A$4:$AJ$39,2,)</f>
        <v>378</v>
      </c>
      <c r="E969" s="43">
        <f>VLOOKUP($B968,[2]Complaints!$A$4:$AJ$39,2,)</f>
        <v>406</v>
      </c>
      <c r="F969" s="43">
        <f>VLOOKUP($B968,[3]Complaints!$A$4:$AJ$39,2)</f>
        <v>554</v>
      </c>
      <c r="G969" s="43">
        <f>VLOOKUP($B968,[4]Complaints!$A$4:$AJ$39,2)</f>
        <v>1044</v>
      </c>
      <c r="H969" s="43">
        <f>VLOOKUP($B968,[5]Complaints!$A$4:$AJ$39,2)</f>
        <v>1269</v>
      </c>
      <c r="I969" s="43">
        <f>VLOOKUP($B968,[6]Complaints!$A$4:$AJ$39,2)</f>
        <v>1377</v>
      </c>
      <c r="J969" s="43">
        <f>VLOOKUP($B968,[7]Complaints!$A$4:$AJ$39,2)</f>
        <v>1357</v>
      </c>
      <c r="K969" s="43">
        <f>VLOOKUP($B968,[8]Complaints!$A$4:$AJ$39,2)</f>
        <v>1357</v>
      </c>
      <c r="L969" s="43">
        <f>VLOOKUP($B968,[9]Complaints!$A$4:$AJ$39,2)</f>
        <v>1257</v>
      </c>
      <c r="M969" s="43">
        <f>VLOOKUP($B968,[10]Complaints!$A$4:$AJ$39,2)</f>
        <v>899</v>
      </c>
      <c r="N969" s="43">
        <f>VLOOKUP($B968,[11]Complaints!$A$4:$AJ$39,2)</f>
        <v>0</v>
      </c>
      <c r="O969" s="44">
        <f>VLOOKUP($B968,[12]Complaints!$A$4:$AJ$39,2)</f>
        <v>0</v>
      </c>
      <c r="P969" s="45">
        <f>SUM(D969:O969)</f>
        <v>9898</v>
      </c>
      <c r="Q969" s="46"/>
      <c r="R969" s="18"/>
    </row>
    <row r="970" spans="2:18" ht="15.75" customHeight="1" x14ac:dyDescent="0.2">
      <c r="B970" s="166" t="s">
        <v>94</v>
      </c>
      <c r="C970" s="167"/>
      <c r="D970" s="47">
        <f>VLOOKUP($B968,[1]Complaints!$A$4:$AF$39,3,)</f>
        <v>0</v>
      </c>
      <c r="E970" s="48">
        <f>VLOOKUP($B968,[2]Complaints!$A$4:$AF$39,3,)</f>
        <v>0</v>
      </c>
      <c r="F970" s="48">
        <f>VLOOKUP($B968,[3]Complaints!$A$4:$AG$39,3,)</f>
        <v>0</v>
      </c>
      <c r="G970" s="48">
        <f>VLOOKUP($B968,[4]Complaints!$A$4:$AG$39,3,)</f>
        <v>2</v>
      </c>
      <c r="H970" s="48">
        <f>VLOOKUP($B968,[5]Complaints!$A$4:$AG$39,3,)</f>
        <v>1</v>
      </c>
      <c r="I970" s="48">
        <f>VLOOKUP($B968,[6]Complaints!$A$4:$AG$39,3,)</f>
        <v>1</v>
      </c>
      <c r="J970" s="48">
        <f>VLOOKUP($B968,[7]Complaints!$A$4:$AG$39,3,)</f>
        <v>0</v>
      </c>
      <c r="K970" s="48">
        <f>VLOOKUP($B968,[8]Complaints!$A$4:$AG$39,3,)</f>
        <v>0</v>
      </c>
      <c r="L970" s="48">
        <f>VLOOKUP($B968,[9]Complaints!$A$4:$AG$39,3,)</f>
        <v>0</v>
      </c>
      <c r="M970" s="48">
        <f>VLOOKUP($B968,[10]Complaints!$A$4:$AG$39,3,)</f>
        <v>1</v>
      </c>
      <c r="N970" s="48">
        <f>VLOOKUP($B968,[11]Complaints!$A$4:$AG$39,3,)</f>
        <v>0</v>
      </c>
      <c r="O970" s="49">
        <f>VLOOKUP($B968,[12]Complaints!$A$4:$AG$39,3,)</f>
        <v>0</v>
      </c>
      <c r="P970" s="45">
        <f>SUM(D970:O970)</f>
        <v>5</v>
      </c>
      <c r="Q970" s="50"/>
      <c r="R970" s="18"/>
    </row>
    <row r="971" spans="2:18" ht="15.75" customHeight="1" x14ac:dyDescent="0.2">
      <c r="B971" s="26"/>
      <c r="C971" s="28" t="s">
        <v>102</v>
      </c>
      <c r="D971" s="51">
        <f>IF(D969=0,"",D970/D969)</f>
        <v>0</v>
      </c>
      <c r="E971" s="52">
        <f t="shared" ref="E971:O971" si="250">IF(E969=0,"",E970/E969)</f>
        <v>0</v>
      </c>
      <c r="F971" s="52">
        <f t="shared" si="250"/>
        <v>0</v>
      </c>
      <c r="G971" s="52">
        <f t="shared" si="250"/>
        <v>1.9157088122605363E-3</v>
      </c>
      <c r="H971" s="52">
        <f t="shared" si="250"/>
        <v>7.8802206461780935E-4</v>
      </c>
      <c r="I971" s="52">
        <f t="shared" si="250"/>
        <v>7.2621641249092229E-4</v>
      </c>
      <c r="J971" s="52">
        <f t="shared" si="250"/>
        <v>0</v>
      </c>
      <c r="K971" s="52">
        <f t="shared" si="250"/>
        <v>0</v>
      </c>
      <c r="L971" s="52">
        <f t="shared" si="250"/>
        <v>0</v>
      </c>
      <c r="M971" s="52">
        <f t="shared" si="250"/>
        <v>1.1123470522803114E-3</v>
      </c>
      <c r="N971" s="52" t="str">
        <f t="shared" si="250"/>
        <v/>
      </c>
      <c r="O971" s="53" t="str">
        <f t="shared" si="250"/>
        <v/>
      </c>
      <c r="P971" s="54">
        <f>IF(P970="","",P970/P969)</f>
        <v>5.0515255607193376E-4</v>
      </c>
      <c r="Q971" s="50"/>
      <c r="R971" s="18"/>
    </row>
    <row r="972" spans="2:18" s="21" customFormat="1" ht="15.75" customHeight="1" x14ac:dyDescent="0.2">
      <c r="B972" s="155" t="s">
        <v>95</v>
      </c>
      <c r="C972" s="156"/>
      <c r="D972" s="47">
        <f>VLOOKUP($B968,[1]Complaints!$A$4:$AF$39,4,)</f>
        <v>0</v>
      </c>
      <c r="E972" s="48">
        <f>VLOOKUP($B968,[2]Complaints!$A$4:$AF$39,4,)</f>
        <v>0</v>
      </c>
      <c r="F972" s="48">
        <f>VLOOKUP($B968,[3]Complaints!$A$4:$AG$39,4,)</f>
        <v>0</v>
      </c>
      <c r="G972" s="48">
        <f>VLOOKUP($B968,[4]Complaints!$A$4:$AG$39,4,)</f>
        <v>0</v>
      </c>
      <c r="H972" s="48">
        <f>VLOOKUP($B968,[5]Complaints!$A$4:$AG$39,4,)</f>
        <v>0</v>
      </c>
      <c r="I972" s="48">
        <f>VLOOKUP($B968,[6]Complaints!$A$4:$AG$39,4,)</f>
        <v>0</v>
      </c>
      <c r="J972" s="48">
        <f>VLOOKUP($B968,[7]Complaints!$A$4:$AG$39,4,)</f>
        <v>0</v>
      </c>
      <c r="K972" s="48">
        <f>VLOOKUP($B968,[8]Complaints!$A$4:$AG$39,4,)</f>
        <v>0</v>
      </c>
      <c r="L972" s="48">
        <f>VLOOKUP($B968,[9]Complaints!$A$4:$AG$39,4,)</f>
        <v>0</v>
      </c>
      <c r="M972" s="48">
        <f>VLOOKUP($B968,[10]Complaints!$A$4:$AG$39,4,)</f>
        <v>1</v>
      </c>
      <c r="N972" s="48">
        <f>VLOOKUP($B968,[11]Complaints!$A$4:$AG$39,4,)</f>
        <v>0</v>
      </c>
      <c r="O972" s="49">
        <f>VLOOKUP($B968,[12]Complaints!$A$4:$AG$39,4,)</f>
        <v>0</v>
      </c>
      <c r="P972" s="55">
        <f t="shared" ref="P972" si="251">SUM(D972:O972)</f>
        <v>1</v>
      </c>
      <c r="Q972" s="50"/>
    </row>
    <row r="973" spans="2:18" ht="15.75" customHeight="1" x14ac:dyDescent="0.2">
      <c r="B973" s="26"/>
      <c r="C973" s="28" t="s">
        <v>98</v>
      </c>
      <c r="D973" s="51">
        <f>IF(D969=0,"",D972/D969)</f>
        <v>0</v>
      </c>
      <c r="E973" s="52">
        <f t="shared" ref="E973:O973" si="252">IF(E969=0,"",E972/E969)</f>
        <v>0</v>
      </c>
      <c r="F973" s="52">
        <f t="shared" si="252"/>
        <v>0</v>
      </c>
      <c r="G973" s="52">
        <f t="shared" si="252"/>
        <v>0</v>
      </c>
      <c r="H973" s="52">
        <f t="shared" si="252"/>
        <v>0</v>
      </c>
      <c r="I973" s="52">
        <f t="shared" si="252"/>
        <v>0</v>
      </c>
      <c r="J973" s="52">
        <f t="shared" si="252"/>
        <v>0</v>
      </c>
      <c r="K973" s="52">
        <f t="shared" si="252"/>
        <v>0</v>
      </c>
      <c r="L973" s="52">
        <f t="shared" si="252"/>
        <v>0</v>
      </c>
      <c r="M973" s="52">
        <f t="shared" si="252"/>
        <v>1.1123470522803114E-3</v>
      </c>
      <c r="N973" s="52" t="str">
        <f t="shared" si="252"/>
        <v/>
      </c>
      <c r="O973" s="53" t="str">
        <f t="shared" si="252"/>
        <v/>
      </c>
      <c r="P973" s="54">
        <f>IF(P972="","",P972/P969)</f>
        <v>1.0103051121438674E-4</v>
      </c>
      <c r="Q973" s="50"/>
      <c r="R973" s="18"/>
    </row>
    <row r="974" spans="2:18" ht="15.75" customHeight="1" x14ac:dyDescent="0.2">
      <c r="B974" s="155" t="s">
        <v>96</v>
      </c>
      <c r="C974" s="156"/>
      <c r="D974" s="47">
        <f>VLOOKUP($B968,[1]Complaints!$A$4:$AF$39,5,)</f>
        <v>0</v>
      </c>
      <c r="E974" s="48">
        <f>VLOOKUP($B968,[2]Complaints!$A$4:$AF$39,5,)</f>
        <v>0</v>
      </c>
      <c r="F974" s="48">
        <f>VLOOKUP($B968,[3]Complaints!$A$4:$AG$39,5,)</f>
        <v>0</v>
      </c>
      <c r="G974" s="48">
        <f>VLOOKUP($B968,[4]Complaints!$A$4:$AG$39,5,)</f>
        <v>2</v>
      </c>
      <c r="H974" s="48">
        <f>VLOOKUP($B968,[5]Complaints!$A$4:$AG$39,5,)</f>
        <v>1</v>
      </c>
      <c r="I974" s="48">
        <f>VLOOKUP($B968,[6]Complaints!$A$4:$AG$39,5,)</f>
        <v>1</v>
      </c>
      <c r="J974" s="48">
        <f>VLOOKUP($B968,[7]Complaints!$A$4:$AG$39,5,)</f>
        <v>0</v>
      </c>
      <c r="K974" s="48">
        <f>VLOOKUP($B968,[8]Complaints!$A$4:$AG$39,5,)</f>
        <v>0</v>
      </c>
      <c r="L974" s="48">
        <f>VLOOKUP($B968,[9]Complaints!$A$4:$AG$39,5,)</f>
        <v>0</v>
      </c>
      <c r="M974" s="48">
        <f>VLOOKUP($B968,[10]Complaints!$A$4:$AG$39,5,)</f>
        <v>0</v>
      </c>
      <c r="N974" s="48">
        <f>VLOOKUP($B968,[11]Complaints!$A$4:$AG$39,5,)</f>
        <v>0</v>
      </c>
      <c r="O974" s="49">
        <f>VLOOKUP($B968,[12]Complaints!$A$4:$AG$39,5,)</f>
        <v>0</v>
      </c>
      <c r="P974" s="55">
        <f t="shared" ref="P974" si="253">SUM(D974:O974)</f>
        <v>4</v>
      </c>
      <c r="Q974" s="50"/>
      <c r="R974" s="18"/>
    </row>
    <row r="975" spans="2:18" ht="15.75" customHeight="1" x14ac:dyDescent="0.2">
      <c r="B975" s="26"/>
      <c r="C975" s="28" t="s">
        <v>99</v>
      </c>
      <c r="D975" s="51">
        <f>IF(D969=0,"",D974/D969)</f>
        <v>0</v>
      </c>
      <c r="E975" s="52">
        <f t="shared" ref="E975:O975" si="254">IF(E969=0,"",E974/E969)</f>
        <v>0</v>
      </c>
      <c r="F975" s="52">
        <f t="shared" si="254"/>
        <v>0</v>
      </c>
      <c r="G975" s="52">
        <f t="shared" si="254"/>
        <v>1.9157088122605363E-3</v>
      </c>
      <c r="H975" s="52">
        <f t="shared" si="254"/>
        <v>7.8802206461780935E-4</v>
      </c>
      <c r="I975" s="52">
        <f t="shared" si="254"/>
        <v>7.2621641249092229E-4</v>
      </c>
      <c r="J975" s="52">
        <f t="shared" si="254"/>
        <v>0</v>
      </c>
      <c r="K975" s="52">
        <f t="shared" si="254"/>
        <v>0</v>
      </c>
      <c r="L975" s="52">
        <f t="shared" si="254"/>
        <v>0</v>
      </c>
      <c r="M975" s="52">
        <f t="shared" si="254"/>
        <v>0</v>
      </c>
      <c r="N975" s="52" t="str">
        <f t="shared" si="254"/>
        <v/>
      </c>
      <c r="O975" s="53" t="str">
        <f t="shared" si="254"/>
        <v/>
      </c>
      <c r="P975" s="54">
        <f>IF(P974="","",P974/P969)</f>
        <v>4.0412204485754696E-4</v>
      </c>
      <c r="Q975" s="50"/>
      <c r="R975" s="18"/>
    </row>
    <row r="976" spans="2:18" ht="15.75" customHeight="1" x14ac:dyDescent="0.2">
      <c r="B976" s="157" t="s">
        <v>97</v>
      </c>
      <c r="C976" s="156"/>
      <c r="D976" s="47">
        <f>VLOOKUP($B968,[1]Complaints!$A$4:$AF$39,6,)</f>
        <v>0</v>
      </c>
      <c r="E976" s="48">
        <f>VLOOKUP($B968,[2]Complaints!$A$4:$AF$39,6,)</f>
        <v>0</v>
      </c>
      <c r="F976" s="48">
        <f>VLOOKUP($B968,[3]Complaints!$A$4:$AG$39,6,)</f>
        <v>0</v>
      </c>
      <c r="G976" s="48">
        <f>VLOOKUP($B968,[4]Complaints!$A$4:$AG$39,6,)</f>
        <v>1</v>
      </c>
      <c r="H976" s="48">
        <f>VLOOKUP($B968,[5]Complaints!$A$4:$AG$39,6,)</f>
        <v>1</v>
      </c>
      <c r="I976" s="48">
        <f>VLOOKUP($B968,[6]Complaints!$A$4:$AG$39,6,)</f>
        <v>1</v>
      </c>
      <c r="J976" s="48">
        <f>VLOOKUP($B968,[7]Complaints!$A$4:$AG$39,6,)</f>
        <v>0</v>
      </c>
      <c r="K976" s="48">
        <f>VLOOKUP($B968,[8]Complaints!$A$4:$AG$39,6,)</f>
        <v>0</v>
      </c>
      <c r="L976" s="48">
        <f>VLOOKUP($B968,[9]Complaints!$A$4:$AG$39,6,)</f>
        <v>0</v>
      </c>
      <c r="M976" s="48">
        <f>VLOOKUP($B968,[10]Complaints!$A$4:$AG$39,6,)</f>
        <v>0</v>
      </c>
      <c r="N976" s="48">
        <f>VLOOKUP($B968,[11]Complaints!$A$4:$AG$39,6,)</f>
        <v>0</v>
      </c>
      <c r="O976" s="49">
        <f>VLOOKUP($B968,[12]Complaints!$A$4:$AG$39,6,)</f>
        <v>0</v>
      </c>
      <c r="P976" s="55">
        <f t="shared" ref="P976" si="255">SUM(D976:O976)</f>
        <v>3</v>
      </c>
      <c r="Q976" s="50"/>
      <c r="R976" s="18"/>
    </row>
    <row r="977" spans="2:18" ht="15.75" customHeight="1" thickBot="1" x14ac:dyDescent="0.25">
      <c r="B977" s="27"/>
      <c r="C977" s="29" t="s">
        <v>100</v>
      </c>
      <c r="D977" s="56" t="str">
        <f>IF(D976=0,"",D976/D974)</f>
        <v/>
      </c>
      <c r="E977" s="57" t="str">
        <f t="shared" ref="E977:H977" si="256">IF(E976=0,"",E976/E974)</f>
        <v/>
      </c>
      <c r="F977" s="57" t="str">
        <f t="shared" si="256"/>
        <v/>
      </c>
      <c r="G977" s="57">
        <f t="shared" si="256"/>
        <v>0.5</v>
      </c>
      <c r="H977" s="57">
        <f t="shared" si="256"/>
        <v>1</v>
      </c>
      <c r="I977" s="57">
        <f>IF(I976=0,"",I976/I974)</f>
        <v>1</v>
      </c>
      <c r="J977" s="57" t="str">
        <f t="shared" ref="J977:O977" si="257">IF(J976=0,"",J976/J974)</f>
        <v/>
      </c>
      <c r="K977" s="57" t="str">
        <f t="shared" si="257"/>
        <v/>
      </c>
      <c r="L977" s="57" t="str">
        <f t="shared" si="257"/>
        <v/>
      </c>
      <c r="M977" s="57" t="str">
        <f t="shared" si="257"/>
        <v/>
      </c>
      <c r="N977" s="57" t="str">
        <f t="shared" si="257"/>
        <v/>
      </c>
      <c r="O977" s="58" t="str">
        <f t="shared" si="257"/>
        <v/>
      </c>
      <c r="P977" s="59">
        <f>IF(P976=0,"",P976/P974)</f>
        <v>0.75</v>
      </c>
      <c r="Q977" s="60"/>
      <c r="R977" s="18"/>
    </row>
    <row r="978" spans="2:18" ht="15.75" customHeight="1" x14ac:dyDescent="0.2">
      <c r="B978" s="168" t="s">
        <v>103</v>
      </c>
      <c r="C978" s="30" t="s">
        <v>77</v>
      </c>
      <c r="D978" s="61">
        <f>VLOOKUP($B968,[1]Complaints!$A$4:$AJ$39,7,)</f>
        <v>0</v>
      </c>
      <c r="E978" s="43">
        <f>VLOOKUP($B968,[2]Complaints!$A$4:$AJ$39,7,)</f>
        <v>0</v>
      </c>
      <c r="F978" s="43">
        <f>VLOOKUP($B968,[3]Complaints!$A$4:$AJ$39,7,)</f>
        <v>0</v>
      </c>
      <c r="G978" s="43">
        <f>VLOOKUP($B968,[4]Complaints!$A$4:$AJ$39,7,)</f>
        <v>0</v>
      </c>
      <c r="H978" s="43">
        <f>VLOOKUP($B968,[5]Complaints!$A$4:$AJ$39,7,)</f>
        <v>0</v>
      </c>
      <c r="I978" s="43">
        <f>VLOOKUP($B968,[6]Complaints!$A$4:$AJ$39,7,)</f>
        <v>0</v>
      </c>
      <c r="J978" s="43">
        <f>VLOOKUP($B968,[7]Complaints!$A$4:$AJ$39,7,)</f>
        <v>0</v>
      </c>
      <c r="K978" s="43">
        <f>VLOOKUP($B968,[8]Complaints!$A$4:$AJ$39,7,)</f>
        <v>0</v>
      </c>
      <c r="L978" s="43">
        <f>VLOOKUP($B968,[9]Complaints!$A$4:$AJ$39,7,)</f>
        <v>0</v>
      </c>
      <c r="M978" s="43">
        <f>VLOOKUP($B968,[10]Complaints!$A$4:$AJ$39,7,)</f>
        <v>0</v>
      </c>
      <c r="N978" s="43">
        <f>VLOOKUP($B968,[11]Complaints!$A$4:$AJ$39,7,)</f>
        <v>0</v>
      </c>
      <c r="O978" s="44">
        <f>VLOOKUP($B968,[12]Complaints!$A$4:$AJ$39,7,)</f>
        <v>0</v>
      </c>
      <c r="P978" s="45">
        <f>SUM(D978:O978)</f>
        <v>0</v>
      </c>
      <c r="Q978" s="46" t="str">
        <f>IF(P978=0,"",P978/$P970)</f>
        <v/>
      </c>
      <c r="R978" s="18"/>
    </row>
    <row r="979" spans="2:18" ht="15.75" customHeight="1" x14ac:dyDescent="0.2">
      <c r="B979" s="169"/>
      <c r="C979" s="31" t="s">
        <v>89</v>
      </c>
      <c r="D979" s="47">
        <f>VLOOKUP($B968,[1]Complaints!$A$4:$AJ$39,8,)</f>
        <v>0</v>
      </c>
      <c r="E979" s="48">
        <f>VLOOKUP($B968,[2]Complaints!$A$4:$AJ$39,8,)</f>
        <v>0</v>
      </c>
      <c r="F979" s="48">
        <f>VLOOKUP($B968,[3]Complaints!$A$4:$AJ$39,8,)</f>
        <v>0</v>
      </c>
      <c r="G979" s="48">
        <f>VLOOKUP($B968,[4]Complaints!$A$4:$AJ$39,8,)</f>
        <v>1</v>
      </c>
      <c r="H979" s="48">
        <f>VLOOKUP($B968,[5]Complaints!$A$4:$AJ$39,8,)</f>
        <v>1</v>
      </c>
      <c r="I979" s="48">
        <f>VLOOKUP($B968,[6]Complaints!$A$4:$AJ$39,8,)</f>
        <v>0</v>
      </c>
      <c r="J979" s="48">
        <f>VLOOKUP($B968,[7]Complaints!$A$4:$AJ$39,8,)</f>
        <v>0</v>
      </c>
      <c r="K979" s="48">
        <f>VLOOKUP($B968,[8]Complaints!$A$4:$AJ$39,8,)</f>
        <v>0</v>
      </c>
      <c r="L979" s="48">
        <f>VLOOKUP($B968,[9]Complaints!$A$4:$AJ$39,8,)</f>
        <v>0</v>
      </c>
      <c r="M979" s="48">
        <f>VLOOKUP($B968,[10]Complaints!$A$4:$AJ$39,8,)</f>
        <v>0</v>
      </c>
      <c r="N979" s="48">
        <f>VLOOKUP($B968,[11]Complaints!$A$4:$AJ$39,8,)</f>
        <v>0</v>
      </c>
      <c r="O979" s="49">
        <f>VLOOKUP($B968,[12]Complaints!$A$4:$AJ$39,8,)</f>
        <v>0</v>
      </c>
      <c r="P979" s="55">
        <f t="shared" ref="P979:P980" si="258">SUM(D979:O979)</f>
        <v>2</v>
      </c>
      <c r="Q979" s="50">
        <f>IF(P979="","",P979/$P970)</f>
        <v>0.4</v>
      </c>
      <c r="R979" s="18"/>
    </row>
    <row r="980" spans="2:18" ht="15.75" customHeight="1" x14ac:dyDescent="0.2">
      <c r="B980" s="169"/>
      <c r="C980" s="31" t="s">
        <v>88</v>
      </c>
      <c r="D980" s="47">
        <f>VLOOKUP($B968,[1]Complaints!$A$4:$AJ$39,9,)</f>
        <v>0</v>
      </c>
      <c r="E980" s="48">
        <f>VLOOKUP($B968,[2]Complaints!$A$4:$AJ$39,9,)</f>
        <v>0</v>
      </c>
      <c r="F980" s="48">
        <f>VLOOKUP($B968,[3]Complaints!$A$4:$AJ$39,9,)</f>
        <v>0</v>
      </c>
      <c r="G980" s="48">
        <f>VLOOKUP($B968,[4]Complaints!$A$4:$AJ$39,9,)</f>
        <v>0</v>
      </c>
      <c r="H980" s="48">
        <f>VLOOKUP($B968,[5]Complaints!$A$4:$AJ$39,9,)</f>
        <v>0</v>
      </c>
      <c r="I980" s="48">
        <f>VLOOKUP($B968,[6]Complaints!$A$4:$AJ$39,9,)</f>
        <v>0</v>
      </c>
      <c r="J980" s="48">
        <f>VLOOKUP($B968,[7]Complaints!$A$4:$AJ$39,9,)</f>
        <v>0</v>
      </c>
      <c r="K980" s="48">
        <f>VLOOKUP($B968,[8]Complaints!$A$4:$AJ$39,9,)</f>
        <v>0</v>
      </c>
      <c r="L980" s="48">
        <f>VLOOKUP($B968,[9]Complaints!$A$4:$AJ$39,9,)</f>
        <v>0</v>
      </c>
      <c r="M980" s="48">
        <f>VLOOKUP($B968,[10]Complaints!$A$4:$AJ$39,9,)</f>
        <v>0</v>
      </c>
      <c r="N980" s="48">
        <f>VLOOKUP($B968,[11]Complaints!$A$4:$AJ$39,9,)</f>
        <v>0</v>
      </c>
      <c r="O980" s="49">
        <f>VLOOKUP($B968,[12]Complaints!$A$4:$AJ$39,9,)</f>
        <v>0</v>
      </c>
      <c r="P980" s="55">
        <f t="shared" si="258"/>
        <v>0</v>
      </c>
      <c r="Q980" s="50" t="str">
        <f>IF(P980=0,"",P980/$P970)</f>
        <v/>
      </c>
      <c r="R980" s="18"/>
    </row>
    <row r="981" spans="2:18" ht="15.75" customHeight="1" x14ac:dyDescent="0.2">
      <c r="B981" s="169"/>
      <c r="C981" s="31" t="s">
        <v>13</v>
      </c>
      <c r="D981" s="47">
        <f>VLOOKUP($B968,[1]Complaints!$A$4:$AJ$39,10,)</f>
        <v>0</v>
      </c>
      <c r="E981" s="48">
        <f>VLOOKUP($B968,[2]Complaints!$A$4:$AJ$39,10,)</f>
        <v>0</v>
      </c>
      <c r="F981" s="48">
        <f>VLOOKUP($B968,[3]Complaints!$A$4:$AJ$39,10,)</f>
        <v>0</v>
      </c>
      <c r="G981" s="48">
        <f>VLOOKUP($B968,[4]Complaints!$A$4:$AJ$39,10,)</f>
        <v>0</v>
      </c>
      <c r="H981" s="48">
        <f>VLOOKUP($B968,[5]Complaints!$A$4:$AJ$39,10,)</f>
        <v>0</v>
      </c>
      <c r="I981" s="48">
        <f>VLOOKUP($B968,[6]Complaints!$A$4:$AJ$39,10,)</f>
        <v>0</v>
      </c>
      <c r="J981" s="48">
        <f>VLOOKUP($B968,[7]Complaints!$A$4:$AJ$39,10,)</f>
        <v>0</v>
      </c>
      <c r="K981" s="48">
        <f>VLOOKUP($B968,[8]Complaints!$A$4:$AJ$39,10,)</f>
        <v>0</v>
      </c>
      <c r="L981" s="48">
        <f>VLOOKUP($B968,[9]Complaints!$A$4:$AJ$39,10,)</f>
        <v>0</v>
      </c>
      <c r="M981" s="48">
        <f>VLOOKUP($B968,[10]Complaints!$A$4:$AJ$39,10,)</f>
        <v>1</v>
      </c>
      <c r="N981" s="48">
        <f>VLOOKUP($B968,[11]Complaints!$A$4:$AJ$39,10,)</f>
        <v>0</v>
      </c>
      <c r="O981" s="49">
        <f>VLOOKUP($B968,[12]Complaints!$A$4:$AJ$39,10,)</f>
        <v>0</v>
      </c>
      <c r="P981" s="55">
        <f>SUM(D981:O981)</f>
        <v>1</v>
      </c>
      <c r="Q981" s="50">
        <f>IF(P981=0,"",P981/$P970)</f>
        <v>0.2</v>
      </c>
      <c r="R981" s="18"/>
    </row>
    <row r="982" spans="2:18" ht="15.75" customHeight="1" x14ac:dyDescent="0.2">
      <c r="B982" s="169"/>
      <c r="C982" s="31" t="s">
        <v>101</v>
      </c>
      <c r="D982" s="47">
        <f>VLOOKUP($B968,[1]Complaints!$A$4:$AJ$39,11,)</f>
        <v>0</v>
      </c>
      <c r="E982" s="48">
        <f>VLOOKUP($B968,[2]Complaints!$A$4:$AJ$39,11,)</f>
        <v>0</v>
      </c>
      <c r="F982" s="48">
        <f>VLOOKUP($B968,[3]Complaints!$A$4:$AJ$39,11,)</f>
        <v>0</v>
      </c>
      <c r="G982" s="48">
        <f>VLOOKUP($B968,[4]Complaints!$A$4:$AJ$39,11,)</f>
        <v>0</v>
      </c>
      <c r="H982" s="48">
        <f>VLOOKUP($B968,[5]Complaints!$A$4:$AJ$39,11,)</f>
        <v>0</v>
      </c>
      <c r="I982" s="48">
        <f>VLOOKUP($B968,[6]Complaints!$A$4:$AJ$39,11,)</f>
        <v>1</v>
      </c>
      <c r="J982" s="48">
        <f>VLOOKUP($B968,[7]Complaints!$A$4:$AJ$39,11,)</f>
        <v>0</v>
      </c>
      <c r="K982" s="48">
        <f>VLOOKUP($B968,[8]Complaints!$A$4:$AJ$39,11,)</f>
        <v>0</v>
      </c>
      <c r="L982" s="48">
        <f>VLOOKUP($B968,[9]Complaints!$A$4:$AJ$39,11,)</f>
        <v>0</v>
      </c>
      <c r="M982" s="48">
        <f>VLOOKUP($B968,[10]Complaints!$A$4:$AJ$39,11,)</f>
        <v>0</v>
      </c>
      <c r="N982" s="48">
        <f>VLOOKUP($B968,[11]Complaints!$A$4:$AJ$39,11,)</f>
        <v>0</v>
      </c>
      <c r="O982" s="49">
        <f>VLOOKUP($B968,[12]Complaints!$A$4:$AJ$39,11,)</f>
        <v>0</v>
      </c>
      <c r="P982" s="55">
        <f t="shared" ref="P982:P991" si="259">SUM(D982:O982)</f>
        <v>1</v>
      </c>
      <c r="Q982" s="50">
        <f>IF(P982=0,"",P982/$P970)</f>
        <v>0.2</v>
      </c>
      <c r="R982" s="18"/>
    </row>
    <row r="983" spans="2:18" s="19" customFormat="1" ht="15.75" customHeight="1" x14ac:dyDescent="0.2">
      <c r="B983" s="169"/>
      <c r="C983" s="31" t="s">
        <v>93</v>
      </c>
      <c r="D983" s="47">
        <f>VLOOKUP($B968,[1]Complaints!$A$4:$AJ$39,12,)</f>
        <v>0</v>
      </c>
      <c r="E983" s="48">
        <f>VLOOKUP($B968,[2]Complaints!$A$4:$AJ$39,12,)</f>
        <v>0</v>
      </c>
      <c r="F983" s="48">
        <f>VLOOKUP($B968,[3]Complaints!$A$4:$AJ$39,12,)</f>
        <v>0</v>
      </c>
      <c r="G983" s="48">
        <f>VLOOKUP($B968,[4]Complaints!$A$4:$AJ$39,12,)</f>
        <v>1</v>
      </c>
      <c r="H983" s="48">
        <f>VLOOKUP($B968,[5]Complaints!$A$4:$AJ$39,12,)</f>
        <v>0</v>
      </c>
      <c r="I983" s="48">
        <f>VLOOKUP($B968,[6]Complaints!$A$4:$AJ$39,12,)</f>
        <v>0</v>
      </c>
      <c r="J983" s="48">
        <f>VLOOKUP($B968,[7]Complaints!$A$4:$AJ$39,12,)</f>
        <v>0</v>
      </c>
      <c r="K983" s="48">
        <f>VLOOKUP($B968,[8]Complaints!$A$4:$AJ$39,12,)</f>
        <v>0</v>
      </c>
      <c r="L983" s="48">
        <f>VLOOKUP($B968,[9]Complaints!$A$4:$AJ$39,12,)</f>
        <v>0</v>
      </c>
      <c r="M983" s="48">
        <f>VLOOKUP($B968,[10]Complaints!$A$4:$AJ$39,12,)</f>
        <v>0</v>
      </c>
      <c r="N983" s="48">
        <f>VLOOKUP($B968,[11]Complaints!$A$4:$AJ$39,12,)</f>
        <v>0</v>
      </c>
      <c r="O983" s="49">
        <f>VLOOKUP($B968,[12]Complaints!$A$4:$AJ$39,12,)</f>
        <v>0</v>
      </c>
      <c r="P983" s="55">
        <f t="shared" si="259"/>
        <v>1</v>
      </c>
      <c r="Q983" s="50">
        <f>IF(P983=0,"",P983/$P970)</f>
        <v>0.2</v>
      </c>
    </row>
    <row r="984" spans="2:18" ht="15.75" customHeight="1" x14ac:dyDescent="0.2">
      <c r="B984" s="169"/>
      <c r="C984" s="31" t="s">
        <v>78</v>
      </c>
      <c r="D984" s="47">
        <f>VLOOKUP($B968,[1]Complaints!$A$4:$AJ$39,13,)</f>
        <v>0</v>
      </c>
      <c r="E984" s="48">
        <f>VLOOKUP($B968,[2]Complaints!$A$4:$AJ$39,13,)</f>
        <v>0</v>
      </c>
      <c r="F984" s="48">
        <f>VLOOKUP($B968,[3]Complaints!$A$4:$AJ$39,13,)</f>
        <v>0</v>
      </c>
      <c r="G984" s="48">
        <f>VLOOKUP($B968,[4]Complaints!$A$4:$AJ$39,13,)</f>
        <v>0</v>
      </c>
      <c r="H984" s="48">
        <f>VLOOKUP($B968,[5]Complaints!$A$4:$AJ$39,13,)</f>
        <v>0</v>
      </c>
      <c r="I984" s="48">
        <f>VLOOKUP($B968,[6]Complaints!$A$4:$AJ$39,13,)</f>
        <v>0</v>
      </c>
      <c r="J984" s="48">
        <f>VLOOKUP($B968,[7]Complaints!$A$4:$AJ$39,13,)</f>
        <v>0</v>
      </c>
      <c r="K984" s="48">
        <f>VLOOKUP($B968,[8]Complaints!$A$4:$AJ$39,13,)</f>
        <v>0</v>
      </c>
      <c r="L984" s="48">
        <f>VLOOKUP($B968,[9]Complaints!$A$4:$AJ$39,13,)</f>
        <v>0</v>
      </c>
      <c r="M984" s="48">
        <f>VLOOKUP($B968,[10]Complaints!$A$4:$AJ$39,13,)</f>
        <v>0</v>
      </c>
      <c r="N984" s="48">
        <f>VLOOKUP($B968,[11]Complaints!$A$4:$AJ$39,13,)</f>
        <v>0</v>
      </c>
      <c r="O984" s="49">
        <f>VLOOKUP($B968,[12]Complaints!$A$4:$AJ$39,13,)</f>
        <v>0</v>
      </c>
      <c r="P984" s="55">
        <f t="shared" si="259"/>
        <v>0</v>
      </c>
      <c r="Q984" s="50" t="str">
        <f>IF(P984=0,"",P984/$P970)</f>
        <v/>
      </c>
      <c r="R984" s="18"/>
    </row>
    <row r="985" spans="2:18" ht="15.75" customHeight="1" x14ac:dyDescent="0.2">
      <c r="B985" s="169"/>
      <c r="C985" s="31" t="s">
        <v>92</v>
      </c>
      <c r="D985" s="47">
        <f>VLOOKUP($B968,[1]Complaints!$A$4:$AJ$39,14,)</f>
        <v>0</v>
      </c>
      <c r="E985" s="48">
        <f>VLOOKUP($B968,[2]Complaints!$A$4:$AJ$39,14,)</f>
        <v>0</v>
      </c>
      <c r="F985" s="48">
        <f>VLOOKUP($B968,[3]Complaints!$A$4:$AJ$39,14,)</f>
        <v>0</v>
      </c>
      <c r="G985" s="48">
        <f>VLOOKUP($B968,[4]Complaints!$A$4:$AJ$39,14,)</f>
        <v>0</v>
      </c>
      <c r="H985" s="48">
        <f>VLOOKUP($B968,[5]Complaints!$A$4:$AJ$39,14,)</f>
        <v>0</v>
      </c>
      <c r="I985" s="48">
        <f>VLOOKUP($B968,[6]Complaints!$A$4:$AJ$39,14,)</f>
        <v>0</v>
      </c>
      <c r="J985" s="48">
        <f>VLOOKUP($B968,[7]Complaints!$A$4:$AJ$39,14,)</f>
        <v>0</v>
      </c>
      <c r="K985" s="48">
        <f>VLOOKUP($B968,[8]Complaints!$A$4:$AJ$39,14,)</f>
        <v>0</v>
      </c>
      <c r="L985" s="48">
        <f>VLOOKUP($B968,[9]Complaints!$A$4:$AJ$39,14,)</f>
        <v>0</v>
      </c>
      <c r="M985" s="48">
        <f>VLOOKUP($B968,[10]Complaints!$A$4:$AJ$39,14,)</f>
        <v>0</v>
      </c>
      <c r="N985" s="48">
        <f>VLOOKUP($B968,[11]Complaints!$A$4:$AJ$39,14,)</f>
        <v>0</v>
      </c>
      <c r="O985" s="49">
        <f>VLOOKUP($B968,[12]Complaints!$A$4:$AJ$39,14,)</f>
        <v>0</v>
      </c>
      <c r="P985" s="55">
        <f t="shared" si="259"/>
        <v>0</v>
      </c>
      <c r="Q985" s="50" t="str">
        <f>IF(P985=0,"",P985/$P970)</f>
        <v/>
      </c>
      <c r="R985" s="18"/>
    </row>
    <row r="986" spans="2:18" ht="15.75" customHeight="1" x14ac:dyDescent="0.2">
      <c r="B986" s="169"/>
      <c r="C986" s="31" t="s">
        <v>91</v>
      </c>
      <c r="D986" s="47">
        <f>VLOOKUP($B968,[1]Complaints!$A$4:$AJ$39,15,)</f>
        <v>0</v>
      </c>
      <c r="E986" s="48">
        <f>VLOOKUP($B968,[2]Complaints!$A$4:$AJ$39,15,)</f>
        <v>0</v>
      </c>
      <c r="F986" s="48">
        <f>VLOOKUP($B968,[3]Complaints!$A$4:$AJ$39,15,)</f>
        <v>0</v>
      </c>
      <c r="G986" s="48">
        <f>VLOOKUP($B968,[4]Complaints!$A$4:$AJ$39,15,)</f>
        <v>0</v>
      </c>
      <c r="H986" s="48">
        <f>VLOOKUP($B968,[5]Complaints!$A$4:$AJ$39,15,)</f>
        <v>0</v>
      </c>
      <c r="I986" s="48">
        <f>VLOOKUP($B968,[6]Complaints!$A$4:$AJ$39,15,)</f>
        <v>0</v>
      </c>
      <c r="J986" s="48">
        <f>VLOOKUP($B968,[7]Complaints!$A$4:$AJ$39,15,)</f>
        <v>0</v>
      </c>
      <c r="K986" s="48">
        <f>VLOOKUP($B968,[8]Complaints!$A$4:$AJ$39,15,)</f>
        <v>0</v>
      </c>
      <c r="L986" s="48">
        <f>VLOOKUP($B968,[9]Complaints!$A$4:$AJ$39,15,)</f>
        <v>0</v>
      </c>
      <c r="M986" s="48">
        <f>VLOOKUP($B968,[10]Complaints!$A$4:$AJ$39,15,)</f>
        <v>0</v>
      </c>
      <c r="N986" s="48">
        <f>VLOOKUP($B968,[11]Complaints!$A$4:$AJ$39,15,)</f>
        <v>0</v>
      </c>
      <c r="O986" s="49">
        <f>VLOOKUP($B968,[12]Complaints!$A$4:$AJ$39,15,)</f>
        <v>0</v>
      </c>
      <c r="P986" s="55">
        <f t="shared" si="259"/>
        <v>0</v>
      </c>
      <c r="Q986" s="50" t="str">
        <f>IF(P986=0,"",P986/$P970)</f>
        <v/>
      </c>
      <c r="R986" s="18"/>
    </row>
    <row r="987" spans="2:18" ht="15.75" customHeight="1" x14ac:dyDescent="0.2">
      <c r="B987" s="169"/>
      <c r="C987" s="31" t="s">
        <v>79</v>
      </c>
      <c r="D987" s="47">
        <f>VLOOKUP($B968,[1]Complaints!$A$4:$AJ$39,16,)</f>
        <v>0</v>
      </c>
      <c r="E987" s="48">
        <f>VLOOKUP($B968,[2]Complaints!$A$4:$AJ$39,16,)</f>
        <v>0</v>
      </c>
      <c r="F987" s="48">
        <f>VLOOKUP($B968,[3]Complaints!$A$4:$AJ$39,16,)</f>
        <v>0</v>
      </c>
      <c r="G987" s="48">
        <f>VLOOKUP($B968,[4]Complaints!$A$4:$AJ$39,16,)</f>
        <v>0</v>
      </c>
      <c r="H987" s="48">
        <f>VLOOKUP($B968,[5]Complaints!$A$4:$AJ$39,16,)</f>
        <v>0</v>
      </c>
      <c r="I987" s="48">
        <f>VLOOKUP($B968,[6]Complaints!$A$4:$AJ$39,16,)</f>
        <v>0</v>
      </c>
      <c r="J987" s="48">
        <f>VLOOKUP($B968,[7]Complaints!$A$4:$AJ$39,16,)</f>
        <v>0</v>
      </c>
      <c r="K987" s="48">
        <f>VLOOKUP($B968,[8]Complaints!$A$4:$AJ$39,16,)</f>
        <v>0</v>
      </c>
      <c r="L987" s="48">
        <f>VLOOKUP($B968,[9]Complaints!$A$4:$AJ$39,16,)</f>
        <v>0</v>
      </c>
      <c r="M987" s="48">
        <f>VLOOKUP($B968,[10]Complaints!$A$4:$AJ$39,16,)</f>
        <v>0</v>
      </c>
      <c r="N987" s="48">
        <f>VLOOKUP($B968,[11]Complaints!$A$4:$AJ$39,16,)</f>
        <v>0</v>
      </c>
      <c r="O987" s="49">
        <f>VLOOKUP($B968,[12]Complaints!$A$4:$AJ$39,16,)</f>
        <v>0</v>
      </c>
      <c r="P987" s="55">
        <f t="shared" si="259"/>
        <v>0</v>
      </c>
      <c r="Q987" s="50" t="str">
        <f>IF(P987=0,"",P987/$P970)</f>
        <v/>
      </c>
      <c r="R987" s="18"/>
    </row>
    <row r="988" spans="2:18" ht="15.75" customHeight="1" x14ac:dyDescent="0.2">
      <c r="B988" s="169"/>
      <c r="C988" s="31" t="s">
        <v>80</v>
      </c>
      <c r="D988" s="47">
        <f>VLOOKUP($B968,[1]Complaints!$A$4:$AJ$39,17,)</f>
        <v>0</v>
      </c>
      <c r="E988" s="48">
        <f>VLOOKUP($B968,[2]Complaints!$A$4:$AJ$39,17,)</f>
        <v>0</v>
      </c>
      <c r="F988" s="48">
        <f>VLOOKUP($B968,[3]Complaints!$A$4:$AJ$39,17,)</f>
        <v>0</v>
      </c>
      <c r="G988" s="48">
        <f>VLOOKUP($B968,[4]Complaints!$A$4:$AJ$39,17,)</f>
        <v>0</v>
      </c>
      <c r="H988" s="48">
        <f>VLOOKUP($B968,[5]Complaints!$A$4:$AJ$39,17,)</f>
        <v>0</v>
      </c>
      <c r="I988" s="48">
        <f>VLOOKUP($B968,[6]Complaints!$A$4:$AJ$39,17,)</f>
        <v>0</v>
      </c>
      <c r="J988" s="48">
        <f>VLOOKUP($B968,[7]Complaints!$A$4:$AJ$39,17,)</f>
        <v>0</v>
      </c>
      <c r="K988" s="48">
        <f>VLOOKUP($B968,[8]Complaints!$A$4:$AJ$39,17,)</f>
        <v>0</v>
      </c>
      <c r="L988" s="48">
        <f>VLOOKUP($B968,[9]Complaints!$A$4:$AJ$39,17,)</f>
        <v>0</v>
      </c>
      <c r="M988" s="48">
        <f>VLOOKUP($B968,[10]Complaints!$A$4:$AJ$39,17,)</f>
        <v>0</v>
      </c>
      <c r="N988" s="48">
        <f>VLOOKUP($B968,[11]Complaints!$A$4:$AJ$39,17,)</f>
        <v>0</v>
      </c>
      <c r="O988" s="49">
        <f>VLOOKUP($B968,[12]Complaints!$A$4:$AJ$39,17,)</f>
        <v>0</v>
      </c>
      <c r="P988" s="55">
        <f t="shared" si="259"/>
        <v>0</v>
      </c>
      <c r="Q988" s="50" t="str">
        <f>IF(P988=0,"",P988/$P970)</f>
        <v/>
      </c>
      <c r="R988" s="18"/>
    </row>
    <row r="989" spans="2:18" ht="15.75" customHeight="1" x14ac:dyDescent="0.2">
      <c r="B989" s="169"/>
      <c r="C989" s="31" t="s">
        <v>81</v>
      </c>
      <c r="D989" s="47">
        <f>VLOOKUP($B968,[1]Complaints!$A$4:$AJ$39,18,)</f>
        <v>0</v>
      </c>
      <c r="E989" s="48">
        <f>VLOOKUP($B968,[2]Complaints!$A$4:$AJ$39,18,)</f>
        <v>0</v>
      </c>
      <c r="F989" s="48">
        <f>VLOOKUP($B968,[3]Complaints!$A$4:$AJ$39,18,)</f>
        <v>0</v>
      </c>
      <c r="G989" s="48">
        <f>VLOOKUP($B968,[4]Complaints!$A$4:$AJ$39,18,)</f>
        <v>0</v>
      </c>
      <c r="H989" s="48">
        <f>VLOOKUP($B968,[5]Complaints!$A$4:$AJ$39,18,)</f>
        <v>0</v>
      </c>
      <c r="I989" s="48">
        <f>VLOOKUP($B968,[6]Complaints!$A$4:$AJ$39,18,)</f>
        <v>0</v>
      </c>
      <c r="J989" s="48">
        <f>VLOOKUP($B968,[7]Complaints!$A$4:$AJ$39,18,)</f>
        <v>0</v>
      </c>
      <c r="K989" s="48">
        <f>VLOOKUP($B968,[8]Complaints!$A$4:$AJ$39,18,)</f>
        <v>0</v>
      </c>
      <c r="L989" s="48">
        <f>VLOOKUP($B968,[9]Complaints!$A$4:$AJ$39,18,)</f>
        <v>0</v>
      </c>
      <c r="M989" s="48">
        <f>VLOOKUP($B968,[10]Complaints!$A$4:$AJ$39,18,)</f>
        <v>0</v>
      </c>
      <c r="N989" s="48">
        <f>VLOOKUP($B968,[11]Complaints!$A$4:$AJ$39,18,)</f>
        <v>0</v>
      </c>
      <c r="O989" s="49">
        <f>VLOOKUP($B968,[12]Complaints!$A$4:$AJ$39,18,)</f>
        <v>0</v>
      </c>
      <c r="P989" s="55">
        <f t="shared" si="259"/>
        <v>0</v>
      </c>
      <c r="Q989" s="50" t="str">
        <f>IF(P989=0,"",P989/$P970)</f>
        <v/>
      </c>
      <c r="R989" s="18"/>
    </row>
    <row r="990" spans="2:18" ht="15.75" customHeight="1" x14ac:dyDescent="0.2">
      <c r="B990" s="169"/>
      <c r="C990" s="31" t="s">
        <v>82</v>
      </c>
      <c r="D990" s="47">
        <f>VLOOKUP($B968,[1]Complaints!$A$4:$AJ$39,19,)</f>
        <v>0</v>
      </c>
      <c r="E990" s="48">
        <f>VLOOKUP($B968,[2]Complaints!$A$4:$AJ$39,19,)</f>
        <v>0</v>
      </c>
      <c r="F990" s="48">
        <f>VLOOKUP($B968,[3]Complaints!$A$4:$AJ$39,19,)</f>
        <v>0</v>
      </c>
      <c r="G990" s="48">
        <f>VLOOKUP($B968,[4]Complaints!$A$4:$AJ$39,19,)</f>
        <v>0</v>
      </c>
      <c r="H990" s="48">
        <f>VLOOKUP($B968,[5]Complaints!$A$4:$AJ$39,19,)</f>
        <v>0</v>
      </c>
      <c r="I990" s="48">
        <f>VLOOKUP($B968,[6]Complaints!$A$4:$AJ$39,19,)</f>
        <v>0</v>
      </c>
      <c r="J990" s="48">
        <f>VLOOKUP($B968,[7]Complaints!$A$4:$AJ$39,19,)</f>
        <v>0</v>
      </c>
      <c r="K990" s="48">
        <f>VLOOKUP($B968,[8]Complaints!$A$4:$AJ$39,19,)</f>
        <v>0</v>
      </c>
      <c r="L990" s="48">
        <f>VLOOKUP($B968,[9]Complaints!$A$4:$AJ$39,19,)</f>
        <v>0</v>
      </c>
      <c r="M990" s="48">
        <f>VLOOKUP($B968,[10]Complaints!$A$4:$AJ$39,19,)</f>
        <v>0</v>
      </c>
      <c r="N990" s="48">
        <f>VLOOKUP($B968,[11]Complaints!$A$4:$AJ$39,19,)</f>
        <v>0</v>
      </c>
      <c r="O990" s="49">
        <f>VLOOKUP($B968,[12]Complaints!$A$4:$AJ$39,19,)</f>
        <v>0</v>
      </c>
      <c r="P990" s="55">
        <f t="shared" si="259"/>
        <v>0</v>
      </c>
      <c r="Q990" s="50" t="str">
        <f>IF(P990=0,"",P990/$P970)</f>
        <v/>
      </c>
      <c r="R990" s="18"/>
    </row>
    <row r="991" spans="2:18" ht="15.75" customHeight="1" thickBot="1" x14ac:dyDescent="0.25">
      <c r="B991" s="170"/>
      <c r="C991" s="31" t="s">
        <v>83</v>
      </c>
      <c r="D991" s="47">
        <f>VLOOKUP($B968,[1]Complaints!$A$4:$AJ$39,20,)</f>
        <v>0</v>
      </c>
      <c r="E991" s="48">
        <f>VLOOKUP($B968,[2]Complaints!$A$4:$AJ$39,20,)</f>
        <v>0</v>
      </c>
      <c r="F991" s="48">
        <f>VLOOKUP($B968,[3]Complaints!$A$4:$AJ$39,20,)</f>
        <v>0</v>
      </c>
      <c r="G991" s="48">
        <f>VLOOKUP($B968,[4]Complaints!$A$4:$AJ$39,20,)</f>
        <v>0</v>
      </c>
      <c r="H991" s="48">
        <f>VLOOKUP($B968,[5]Complaints!$A$4:$AJ$39,20,)</f>
        <v>0</v>
      </c>
      <c r="I991" s="48">
        <f>VLOOKUP($B968,[6]Complaints!$A$4:$AJ$39,20,)</f>
        <v>0</v>
      </c>
      <c r="J991" s="48">
        <f>VLOOKUP($B968,[7]Complaints!$A$4:$AJ$39,20,)</f>
        <v>0</v>
      </c>
      <c r="K991" s="48">
        <f>VLOOKUP($B968,[8]Complaints!$A$4:$AJ$39,20,)</f>
        <v>0</v>
      </c>
      <c r="L991" s="48">
        <f>VLOOKUP($B968,[9]Complaints!$A$4:$AJ$39,20,)</f>
        <v>0</v>
      </c>
      <c r="M991" s="48">
        <f>VLOOKUP($B968,[10]Complaints!$A$4:$AJ$39,20,)</f>
        <v>0</v>
      </c>
      <c r="N991" s="48">
        <f>VLOOKUP($B968,[11]Complaints!$A$4:$AJ$39,20,)</f>
        <v>0</v>
      </c>
      <c r="O991" s="49">
        <f>VLOOKUP($B968,[12]Complaints!$A$4:$AJ$39,20,)</f>
        <v>0</v>
      </c>
      <c r="P991" s="55">
        <f t="shared" si="259"/>
        <v>0</v>
      </c>
      <c r="Q991" s="50" t="str">
        <f>IF(P991=0,"",P991/$P970)</f>
        <v/>
      </c>
      <c r="R991" s="18"/>
    </row>
    <row r="992" spans="2:18" ht="15.75" customHeight="1" x14ac:dyDescent="0.2">
      <c r="B992" s="144" t="s">
        <v>90</v>
      </c>
      <c r="C992" s="37" t="s">
        <v>118</v>
      </c>
      <c r="D992" s="62">
        <f>VLOOKUP($B968,[1]Complaints!$A$4:$AJ$39,21,)</f>
        <v>0</v>
      </c>
      <c r="E992" s="63">
        <f>VLOOKUP($B968,[2]Complaints!$A$4:$AJ$39,21,)</f>
        <v>0</v>
      </c>
      <c r="F992" s="63">
        <f>VLOOKUP($B968,[3]Complaints!$A$4:$AJ$39,21,)</f>
        <v>0</v>
      </c>
      <c r="G992" s="63">
        <f>VLOOKUP($B968,[4]Complaints!$A$4:$AJ$39,21,)</f>
        <v>1</v>
      </c>
      <c r="H992" s="63">
        <f>VLOOKUP($B968,[5]Complaints!$A$4:$AJ$39,21,)</f>
        <v>1</v>
      </c>
      <c r="I992" s="63">
        <f>VLOOKUP($B968,[6]Complaints!$A$4:$AJ$39,21,)</f>
        <v>1</v>
      </c>
      <c r="J992" s="63">
        <f>VLOOKUP($B968,[7]Complaints!$A$4:$AJ$39,21,)</f>
        <v>0</v>
      </c>
      <c r="K992" s="63">
        <f>VLOOKUP($B968,[8]Complaints!$A$4:$AJ$39,21,)</f>
        <v>0</v>
      </c>
      <c r="L992" s="63">
        <f>VLOOKUP($B968,[9]Complaints!$A$4:$AJ$39,21,)</f>
        <v>0</v>
      </c>
      <c r="M992" s="63">
        <f>VLOOKUP($B968,[10]Complaints!$A$4:$AJ$39,21,)</f>
        <v>1</v>
      </c>
      <c r="N992" s="63">
        <f>VLOOKUP($B968,[11]Complaints!$A$4:$AJ$39,21,)</f>
        <v>0</v>
      </c>
      <c r="O992" s="64">
        <f>VLOOKUP($B968,[12]Complaints!$A$4:$AJ$39,21,)</f>
        <v>0</v>
      </c>
      <c r="P992" s="65">
        <f>SUM(D992:O992)</f>
        <v>4</v>
      </c>
      <c r="Q992" s="46">
        <f>IF(P992=0,"",P992/$P976)</f>
        <v>1.3333333333333333</v>
      </c>
      <c r="R992" s="18"/>
    </row>
    <row r="993" spans="1:19" ht="15.75" customHeight="1" x14ac:dyDescent="0.2">
      <c r="B993" s="145"/>
      <c r="C993" s="38" t="s">
        <v>77</v>
      </c>
      <c r="D993" s="66">
        <f>VLOOKUP($B968,[1]Complaints!$A$4:$AJ$39,22,)</f>
        <v>0</v>
      </c>
      <c r="E993" s="67">
        <f>VLOOKUP($B968,[2]Complaints!$A$4:$AJ$39,22,)</f>
        <v>0</v>
      </c>
      <c r="F993" s="67">
        <f>VLOOKUP($B968,[3]Complaints!$A$4:$AJ$39,22,)</f>
        <v>0</v>
      </c>
      <c r="G993" s="67">
        <f>VLOOKUP($B968,[4]Complaints!$A$4:$AJ$39,22,)</f>
        <v>0</v>
      </c>
      <c r="H993" s="67">
        <f>VLOOKUP($B968,[5]Complaints!$A$4:$AJ$39,22,)</f>
        <v>0</v>
      </c>
      <c r="I993" s="67">
        <f>VLOOKUP($B968,[6]Complaints!$A$4:$AJ$39,22,)</f>
        <v>0</v>
      </c>
      <c r="J993" s="67">
        <f>VLOOKUP($B968,[7]Complaints!$A$4:$AJ$39,22,)</f>
        <v>0</v>
      </c>
      <c r="K993" s="67">
        <f>VLOOKUP($B968,[8]Complaints!$A$4:$AJ$39,22,)</f>
        <v>0</v>
      </c>
      <c r="L993" s="67">
        <f>VLOOKUP($B968,[9]Complaints!$A$4:$AJ$39,22,)</f>
        <v>0</v>
      </c>
      <c r="M993" s="67">
        <f>VLOOKUP($B968,[10]Complaints!$A$4:$AJ$39,22,)</f>
        <v>0</v>
      </c>
      <c r="N993" s="67">
        <f>VLOOKUP($B968,[11]Complaints!$A$4:$AJ$39,22,)</f>
        <v>0</v>
      </c>
      <c r="O993" s="68">
        <f>VLOOKUP($B968,[12]Complaints!$A$4:$AJ$39,22,)</f>
        <v>0</v>
      </c>
      <c r="P993" s="69">
        <f t="shared" ref="P993:P1007" si="260">SUM(D993:O993)</f>
        <v>0</v>
      </c>
      <c r="Q993" s="70" t="str">
        <f>IF(P993=0,"",P993/$P976)</f>
        <v/>
      </c>
      <c r="R993" s="18"/>
    </row>
    <row r="994" spans="1:19" ht="15.75" customHeight="1" x14ac:dyDescent="0.2">
      <c r="B994" s="145"/>
      <c r="C994" s="38" t="s">
        <v>108</v>
      </c>
      <c r="D994" s="66">
        <f>VLOOKUP($B968,[1]Complaints!$A$4:$AJ$39,23,)</f>
        <v>0</v>
      </c>
      <c r="E994" s="67">
        <f>VLOOKUP($B968,[2]Complaints!$A$4:$AJ$39,23,)</f>
        <v>0</v>
      </c>
      <c r="F994" s="67">
        <f>VLOOKUP($B968,[3]Complaints!$A$4:$AJ$39,23,)</f>
        <v>0</v>
      </c>
      <c r="G994" s="67">
        <f>VLOOKUP($B968,[4]Complaints!$A$4:$AJ$39,23,)</f>
        <v>0</v>
      </c>
      <c r="H994" s="67">
        <f>VLOOKUP($B968,[5]Complaints!$A$4:$AJ$39,23,)</f>
        <v>1</v>
      </c>
      <c r="I994" s="67">
        <f>VLOOKUP($B968,[6]Complaints!$A$4:$AJ$39,23,)</f>
        <v>0</v>
      </c>
      <c r="J994" s="67">
        <f>VLOOKUP($B968,[7]Complaints!$A$4:$AJ$39,23,)</f>
        <v>0</v>
      </c>
      <c r="K994" s="67">
        <f>VLOOKUP($B968,[8]Complaints!$A$4:$AJ$39,23,)</f>
        <v>0</v>
      </c>
      <c r="L994" s="67">
        <f>VLOOKUP($B968,[9]Complaints!$A$4:$AJ$39,23,)</f>
        <v>0</v>
      </c>
      <c r="M994" s="67">
        <f>VLOOKUP($B968,[10]Complaints!$A$4:$AJ$39,23,)</f>
        <v>0</v>
      </c>
      <c r="N994" s="67">
        <f>VLOOKUP($B968,[11]Complaints!$A$4:$AJ$39,23,)</f>
        <v>0</v>
      </c>
      <c r="O994" s="68">
        <f>VLOOKUP($B968,[12]Complaints!$A$4:$AJ$39,23,)</f>
        <v>0</v>
      </c>
      <c r="P994" s="69">
        <f t="shared" si="260"/>
        <v>1</v>
      </c>
      <c r="Q994" s="70">
        <f>IF(P994=0,"",P994/$P976)</f>
        <v>0.33333333333333331</v>
      </c>
      <c r="R994" s="18"/>
    </row>
    <row r="995" spans="1:19" ht="15.75" customHeight="1" x14ac:dyDescent="0.2">
      <c r="B995" s="145"/>
      <c r="C995" s="38" t="s">
        <v>88</v>
      </c>
      <c r="D995" s="66">
        <f>VLOOKUP($B968,[1]Complaints!$A$4:$AJ$39,24,)</f>
        <v>0</v>
      </c>
      <c r="E995" s="67">
        <f>VLOOKUP($B968,[2]Complaints!$A$4:$AJ$39,24,)</f>
        <v>0</v>
      </c>
      <c r="F995" s="67">
        <f>VLOOKUP($B968,[3]Complaints!$A$4:$AJ$39,24,)</f>
        <v>0</v>
      </c>
      <c r="G995" s="67">
        <f>VLOOKUP($B968,[4]Complaints!$A$4:$AJ$39,24,)</f>
        <v>0</v>
      </c>
      <c r="H995" s="67">
        <f>VLOOKUP($B968,[5]Complaints!$A$4:$AJ$39,24,)</f>
        <v>0</v>
      </c>
      <c r="I995" s="67">
        <f>VLOOKUP($B968,[6]Complaints!$A$4:$AJ$39,24,)</f>
        <v>0</v>
      </c>
      <c r="J995" s="67">
        <f>VLOOKUP($B968,[7]Complaints!$A$4:$AJ$39,24,)</f>
        <v>0</v>
      </c>
      <c r="K995" s="67">
        <f>VLOOKUP($B968,[8]Complaints!$A$4:$AJ$39,24,)</f>
        <v>0</v>
      </c>
      <c r="L995" s="67">
        <f>VLOOKUP($B968,[9]Complaints!$A$4:$AJ$39,24,)</f>
        <v>0</v>
      </c>
      <c r="M995" s="67">
        <f>VLOOKUP($B968,[10]Complaints!$A$4:$AJ$39,24,)</f>
        <v>0</v>
      </c>
      <c r="N995" s="67">
        <f>VLOOKUP($B968,[11]Complaints!$A$4:$AJ$39,24,)</f>
        <v>0</v>
      </c>
      <c r="O995" s="68">
        <f>VLOOKUP($B968,[12]Complaints!$A$4:$AJ$39,24,)</f>
        <v>0</v>
      </c>
      <c r="P995" s="69">
        <f t="shared" si="260"/>
        <v>0</v>
      </c>
      <c r="Q995" s="70" t="str">
        <f>IF(P995=0,"",P995/$P976)</f>
        <v/>
      </c>
      <c r="R995" s="18"/>
    </row>
    <row r="996" spans="1:19" ht="15.75" customHeight="1" x14ac:dyDescent="0.2">
      <c r="B996" s="145"/>
      <c r="C996" s="38" t="s">
        <v>109</v>
      </c>
      <c r="D996" s="66">
        <f>VLOOKUP($B968,[1]Complaints!$A$4:$AJ$39,25,)</f>
        <v>0</v>
      </c>
      <c r="E996" s="67">
        <f>VLOOKUP($B968,[2]Complaints!$A$4:$AJ$39,25,)</f>
        <v>0</v>
      </c>
      <c r="F996" s="67">
        <f>VLOOKUP($B968,[3]Complaints!$A$4:$AJ$39,25,)</f>
        <v>0</v>
      </c>
      <c r="G996" s="67">
        <f>VLOOKUP($B968,[4]Complaints!$A$4:$AJ$39,25,)</f>
        <v>0</v>
      </c>
      <c r="H996" s="67">
        <f>VLOOKUP($B968,[5]Complaints!$A$4:$AJ$39,25,)</f>
        <v>0</v>
      </c>
      <c r="I996" s="67">
        <f>VLOOKUP($B968,[6]Complaints!$A$4:$AJ$39,25,)</f>
        <v>0</v>
      </c>
      <c r="J996" s="67">
        <f>VLOOKUP($B968,[7]Complaints!$A$4:$AJ$39,25,)</f>
        <v>0</v>
      </c>
      <c r="K996" s="67">
        <f>VLOOKUP($B968,[8]Complaints!$A$4:$AJ$39,25,)</f>
        <v>0</v>
      </c>
      <c r="L996" s="67">
        <f>VLOOKUP($B968,[9]Complaints!$A$4:$AJ$39,25,)</f>
        <v>0</v>
      </c>
      <c r="M996" s="67">
        <f>VLOOKUP($B968,[10]Complaints!$A$4:$AJ$39,25,)</f>
        <v>1</v>
      </c>
      <c r="N996" s="67">
        <f>VLOOKUP($B968,[11]Complaints!$A$4:$AJ$39,25,)</f>
        <v>0</v>
      </c>
      <c r="O996" s="68">
        <f>VLOOKUP($B968,[12]Complaints!$A$4:$AJ$39,25,)</f>
        <v>0</v>
      </c>
      <c r="P996" s="69">
        <f t="shared" si="260"/>
        <v>1</v>
      </c>
      <c r="Q996" s="70">
        <f>IF(P996=0,"",P996/$P976)</f>
        <v>0.33333333333333331</v>
      </c>
      <c r="R996" s="18"/>
    </row>
    <row r="997" spans="1:19" ht="15.75" customHeight="1" x14ac:dyDescent="0.2">
      <c r="A997" s="21"/>
      <c r="B997" s="145"/>
      <c r="C997" s="38" t="s">
        <v>110</v>
      </c>
      <c r="D997" s="66">
        <f>VLOOKUP($B968,[1]Complaints!$A$4:$AJ$39,26,)</f>
        <v>0</v>
      </c>
      <c r="E997" s="67">
        <f>VLOOKUP($B968,[2]Complaints!$A$4:$AJ$39,26,)</f>
        <v>0</v>
      </c>
      <c r="F997" s="67">
        <f>VLOOKUP($B968,[3]Complaints!$A$4:$AJ$39,26,)</f>
        <v>0</v>
      </c>
      <c r="G997" s="67">
        <f>VLOOKUP($B968,[4]Complaints!$A$4:$AJ$39,26,)</f>
        <v>0</v>
      </c>
      <c r="H997" s="67">
        <f>VLOOKUP($B968,[5]Complaints!$A$4:$AJ$39,26,)</f>
        <v>0</v>
      </c>
      <c r="I997" s="67">
        <f>VLOOKUP($B968,[6]Complaints!$A$4:$AJ$39,26,)</f>
        <v>0</v>
      </c>
      <c r="J997" s="67">
        <f>VLOOKUP($B968,[7]Complaints!$A$4:$AJ$39,26,)</f>
        <v>0</v>
      </c>
      <c r="K997" s="67">
        <f>VLOOKUP($B968,[8]Complaints!$A$4:$AJ$39,26,)</f>
        <v>0</v>
      </c>
      <c r="L997" s="67">
        <f>VLOOKUP($B968,[9]Complaints!$A$4:$AJ$39,26,)</f>
        <v>0</v>
      </c>
      <c r="M997" s="67">
        <f>VLOOKUP($B968,[10]Complaints!$A$4:$AJ$39,26,)</f>
        <v>0</v>
      </c>
      <c r="N997" s="67">
        <f>VLOOKUP($B968,[11]Complaints!$A$4:$AJ$39,26,)</f>
        <v>0</v>
      </c>
      <c r="O997" s="68">
        <f>VLOOKUP($B968,[12]Complaints!$A$4:$AJ$39,26,)</f>
        <v>0</v>
      </c>
      <c r="P997" s="69">
        <f t="shared" si="260"/>
        <v>0</v>
      </c>
      <c r="Q997" s="70" t="str">
        <f>IF(P997=0,"",P997/$P976)</f>
        <v/>
      </c>
      <c r="R997" s="18"/>
    </row>
    <row r="998" spans="1:19" s="21" customFormat="1" ht="15.75" customHeight="1" x14ac:dyDescent="0.2">
      <c r="B998" s="145"/>
      <c r="C998" s="39" t="s">
        <v>107</v>
      </c>
      <c r="D998" s="71">
        <f>VLOOKUP($B968,[1]Complaints!$A$4:$AJ$39,27,)</f>
        <v>0</v>
      </c>
      <c r="E998" s="72">
        <f>VLOOKUP($B968,[2]Complaints!$A$4:$AJ$39,27,)</f>
        <v>0</v>
      </c>
      <c r="F998" s="72">
        <f>VLOOKUP($B968,[3]Complaints!$A$4:$AJ$39,27,)</f>
        <v>0</v>
      </c>
      <c r="G998" s="72">
        <f>VLOOKUP($B968,[4]Complaints!$A$4:$AJ$39,27,)</f>
        <v>1</v>
      </c>
      <c r="H998" s="72">
        <f>VLOOKUP($B968,[5]Complaints!$A$4:$AJ$39,27,)</f>
        <v>0</v>
      </c>
      <c r="I998" s="72">
        <f>VLOOKUP($B968,[6]Complaints!$A$4:$AJ$39,27,)</f>
        <v>0</v>
      </c>
      <c r="J998" s="72">
        <f>VLOOKUP($B968,[7]Complaints!$A$4:$AJ$39,27,)</f>
        <v>0</v>
      </c>
      <c r="K998" s="72">
        <f>VLOOKUP($B968,[8]Complaints!$A$4:$AJ$39,27,)</f>
        <v>0</v>
      </c>
      <c r="L998" s="72">
        <f>VLOOKUP($B968,[9]Complaints!$A$4:$AJ$39,27,)</f>
        <v>0</v>
      </c>
      <c r="M998" s="72">
        <f>VLOOKUP($B968,[10]Complaints!$A$4:$AJ$39,27,)</f>
        <v>0</v>
      </c>
      <c r="N998" s="72">
        <f>VLOOKUP($B968,[11]Complaints!$A$4:$AJ$39,27,)</f>
        <v>0</v>
      </c>
      <c r="O998" s="73">
        <f>VLOOKUP($B968,[12]Complaints!$A$4:$AJ$39,27,)</f>
        <v>0</v>
      </c>
      <c r="P998" s="69">
        <f t="shared" si="260"/>
        <v>1</v>
      </c>
      <c r="Q998" s="70">
        <f>IF(P998=0,"",P998/$P976)</f>
        <v>0.33333333333333331</v>
      </c>
      <c r="S998" s="18"/>
    </row>
    <row r="999" spans="1:19" ht="15.75" customHeight="1" x14ac:dyDescent="0.2">
      <c r="B999" s="145"/>
      <c r="C999" s="39" t="s">
        <v>87</v>
      </c>
      <c r="D999" s="71">
        <f>VLOOKUP($B968,[1]Complaints!$A$4:$AJ$39,28,)</f>
        <v>0</v>
      </c>
      <c r="E999" s="72">
        <f>VLOOKUP($B968,[2]Complaints!$A$4:$AJ$39,28,)</f>
        <v>0</v>
      </c>
      <c r="F999" s="72">
        <f>VLOOKUP($B968,[3]Complaints!$A$4:$AJ$39,28,)</f>
        <v>0</v>
      </c>
      <c r="G999" s="72">
        <f>VLOOKUP($B968,[4]Complaints!$A$4:$AJ$39,28,)</f>
        <v>0</v>
      </c>
      <c r="H999" s="72">
        <f>VLOOKUP($B968,[5]Complaints!$A$4:$AJ$39,28,)</f>
        <v>0</v>
      </c>
      <c r="I999" s="72">
        <f>VLOOKUP($B968,[6]Complaints!$A$4:$AJ$39,28,)</f>
        <v>1</v>
      </c>
      <c r="J999" s="72">
        <f>VLOOKUP($B968,[7]Complaints!$A$4:$AJ$39,28,)</f>
        <v>0</v>
      </c>
      <c r="K999" s="72">
        <f>VLOOKUP($B968,[8]Complaints!$A$4:$AJ$39,28,)</f>
        <v>0</v>
      </c>
      <c r="L999" s="72">
        <f>VLOOKUP($B968,[9]Complaints!$A$4:$AJ$39,28,)</f>
        <v>0</v>
      </c>
      <c r="M999" s="72">
        <f>VLOOKUP($B968,[10]Complaints!$A$4:$AJ$39,28,)</f>
        <v>0</v>
      </c>
      <c r="N999" s="72">
        <f>VLOOKUP($B968,[11]Complaints!$A$4:$AJ$39,28,)</f>
        <v>0</v>
      </c>
      <c r="O999" s="73">
        <f>VLOOKUP($B968,[12]Complaints!$A$4:$AJ$39,28,)</f>
        <v>0</v>
      </c>
      <c r="P999" s="69">
        <f t="shared" si="260"/>
        <v>1</v>
      </c>
      <c r="Q999" s="70">
        <f>IF(P999=0,"",P999/$P976)</f>
        <v>0.33333333333333331</v>
      </c>
      <c r="R999" s="18"/>
    </row>
    <row r="1000" spans="1:19" ht="15.75" customHeight="1" x14ac:dyDescent="0.2">
      <c r="B1000" s="145"/>
      <c r="C1000" s="38" t="s">
        <v>111</v>
      </c>
      <c r="D1000" s="66">
        <f>VLOOKUP($B968,[1]Complaints!$A$4:$AJ$39,29,)</f>
        <v>0</v>
      </c>
      <c r="E1000" s="67">
        <f>VLOOKUP($B968,[2]Complaints!$A$4:$AJ$39,29,)</f>
        <v>0</v>
      </c>
      <c r="F1000" s="67">
        <f>VLOOKUP($B968,[3]Complaints!$A$4:$AJ$39,29,)</f>
        <v>0</v>
      </c>
      <c r="G1000" s="67">
        <f>VLOOKUP($B968,[4]Complaints!$A$4:$AJ$39,29,)</f>
        <v>0</v>
      </c>
      <c r="H1000" s="67">
        <f>VLOOKUP($B968,[5]Complaints!$A$4:$AJ$39,29,)</f>
        <v>0</v>
      </c>
      <c r="I1000" s="67">
        <f>VLOOKUP($B968,[6]Complaints!$A$4:$AJ$39,29,)</f>
        <v>0</v>
      </c>
      <c r="J1000" s="67">
        <f>VLOOKUP($B968,[7]Complaints!$A$4:$AJ$39,29,)</f>
        <v>0</v>
      </c>
      <c r="K1000" s="67">
        <f>VLOOKUP($B968,[8]Complaints!$A$4:$AJ$39,29,)</f>
        <v>0</v>
      </c>
      <c r="L1000" s="67">
        <f>VLOOKUP($B968,[9]Complaints!$A$4:$AJ$39,29,)</f>
        <v>0</v>
      </c>
      <c r="M1000" s="67">
        <f>VLOOKUP($B968,[10]Complaints!$A$4:$AJ$39,29,)</f>
        <v>0</v>
      </c>
      <c r="N1000" s="67">
        <f>VLOOKUP($B968,[11]Complaints!$A$4:$AJ$39,29,)</f>
        <v>0</v>
      </c>
      <c r="O1000" s="68">
        <f>VLOOKUP($B968,[12]Complaints!$A$4:$AJ$39,29,)</f>
        <v>0</v>
      </c>
      <c r="P1000" s="69">
        <f t="shared" si="260"/>
        <v>0</v>
      </c>
      <c r="Q1000" s="70" t="str">
        <f>IF(P1000=0,"",P1000/$P976)</f>
        <v/>
      </c>
      <c r="R1000" s="18"/>
    </row>
    <row r="1001" spans="1:19" ht="15.75" customHeight="1" x14ac:dyDescent="0.2">
      <c r="B1001" s="145"/>
      <c r="C1001" s="38" t="s">
        <v>112</v>
      </c>
      <c r="D1001" s="66">
        <f>VLOOKUP($B968,[1]Complaints!$A$4:$AJ$39,30,)</f>
        <v>0</v>
      </c>
      <c r="E1001" s="67">
        <f>VLOOKUP($B968,[2]Complaints!$A$4:$AJ$39,30,)</f>
        <v>0</v>
      </c>
      <c r="F1001" s="67">
        <f>VLOOKUP($B968,[3]Complaints!$A$4:$AJ$39,30,)</f>
        <v>0</v>
      </c>
      <c r="G1001" s="67">
        <f>VLOOKUP($B968,[4]Complaints!$A$4:$AJ$39,30,)</f>
        <v>0</v>
      </c>
      <c r="H1001" s="67">
        <f>VLOOKUP($B968,[5]Complaints!$A$4:$AJ$39,30,)</f>
        <v>0</v>
      </c>
      <c r="I1001" s="67">
        <f>VLOOKUP($B968,[6]Complaints!$A$4:$AJ$39,30,)</f>
        <v>0</v>
      </c>
      <c r="J1001" s="67">
        <f>VLOOKUP($B968,[7]Complaints!$A$4:$AJ$39,30,)</f>
        <v>0</v>
      </c>
      <c r="K1001" s="67">
        <f>VLOOKUP($B968,[8]Complaints!$A$4:$AJ$39,30,)</f>
        <v>0</v>
      </c>
      <c r="L1001" s="67">
        <f>VLOOKUP($B968,[9]Complaints!$A$4:$AJ$39,30,)</f>
        <v>0</v>
      </c>
      <c r="M1001" s="67">
        <f>VLOOKUP($B968,[10]Complaints!$A$4:$AJ$39,30,)</f>
        <v>0</v>
      </c>
      <c r="N1001" s="67">
        <f>VLOOKUP($B968,[11]Complaints!$A$4:$AJ$39,30,)</f>
        <v>0</v>
      </c>
      <c r="O1001" s="68">
        <f>VLOOKUP($B968,[12]Complaints!$A$4:$AJ$39,30,)</f>
        <v>0</v>
      </c>
      <c r="P1001" s="69">
        <f t="shared" si="260"/>
        <v>0</v>
      </c>
      <c r="Q1001" s="70" t="str">
        <f>IF(P1001=0,"",P1001/$P976)</f>
        <v/>
      </c>
      <c r="R1001" s="18"/>
    </row>
    <row r="1002" spans="1:19" ht="15.75" customHeight="1" x14ac:dyDescent="0.2">
      <c r="B1002" s="146"/>
      <c r="C1002" s="40" t="s">
        <v>119</v>
      </c>
      <c r="D1002" s="74">
        <f>VLOOKUP($B968,[1]Complaints!$A$4:$AJ$39,31,)</f>
        <v>0</v>
      </c>
      <c r="E1002" s="75">
        <f>VLOOKUP($B968,[2]Complaints!$A$4:$AJ$39,31,)</f>
        <v>0</v>
      </c>
      <c r="F1002" s="75">
        <f>VLOOKUP($B968,[3]Complaints!$A$4:$AJ$39,31,)</f>
        <v>0</v>
      </c>
      <c r="G1002" s="75">
        <f>VLOOKUP($B968,[4]Complaints!$A$4:$AJ$39,31,)</f>
        <v>0</v>
      </c>
      <c r="H1002" s="75">
        <f>VLOOKUP($B968,[5]Complaints!$A$4:$AJ$39,31,)</f>
        <v>0</v>
      </c>
      <c r="I1002" s="75">
        <f>VLOOKUP($B968,[6]Complaints!$A$4:$AJ$39,31,)</f>
        <v>0</v>
      </c>
      <c r="J1002" s="75">
        <f>VLOOKUP($B968,[7]Complaints!$A$4:$AJ$39,31,)</f>
        <v>0</v>
      </c>
      <c r="K1002" s="75">
        <f>VLOOKUP($B968,[8]Complaints!$A$4:$AJ$39,31,)</f>
        <v>0</v>
      </c>
      <c r="L1002" s="75">
        <f>VLOOKUP($B968,[9]Complaints!$A$4:$AJ$39,31,)</f>
        <v>0</v>
      </c>
      <c r="M1002" s="75">
        <f>VLOOKUP($B968,[10]Complaints!$A$4:$AJ$39,31,)</f>
        <v>0</v>
      </c>
      <c r="N1002" s="75">
        <f>VLOOKUP($B968,[11]Complaints!$A$4:$AJ$39,31,)</f>
        <v>0</v>
      </c>
      <c r="O1002" s="76">
        <f>VLOOKUP($B968,[12]Complaints!$A$4:$AJ$39,31,)</f>
        <v>0</v>
      </c>
      <c r="P1002" s="77">
        <f t="shared" si="260"/>
        <v>0</v>
      </c>
      <c r="Q1002" s="50" t="str">
        <f>IF(P1002=0,"",P1002/$P976)</f>
        <v/>
      </c>
      <c r="R1002" s="18"/>
    </row>
    <row r="1003" spans="1:19" ht="15.75" customHeight="1" x14ac:dyDescent="0.2">
      <c r="B1003" s="146"/>
      <c r="C1003" s="38" t="s">
        <v>113</v>
      </c>
      <c r="D1003" s="66">
        <f>VLOOKUP($B968,[1]Complaints!$A$4:$AJ$39,32,)</f>
        <v>0</v>
      </c>
      <c r="E1003" s="67">
        <f>VLOOKUP($B968,[2]Complaints!$A$4:$AJ$39,32,)</f>
        <v>0</v>
      </c>
      <c r="F1003" s="67">
        <f>VLOOKUP($B968,[3]Complaints!$A$4:$AJ$39,32,)</f>
        <v>0</v>
      </c>
      <c r="G1003" s="67">
        <f>VLOOKUP($B968,[4]Complaints!$A$4:$AJ$39,32,)</f>
        <v>0</v>
      </c>
      <c r="H1003" s="67">
        <f>VLOOKUP($B968,[5]Complaints!$A$4:$AJ$39,32,)</f>
        <v>0</v>
      </c>
      <c r="I1003" s="67">
        <f>VLOOKUP($B968,[6]Complaints!$A$4:$AJ$39,32,)</f>
        <v>0</v>
      </c>
      <c r="J1003" s="67">
        <f>VLOOKUP($B968,[7]Complaints!$A$4:$AJ$39,32,)</f>
        <v>0</v>
      </c>
      <c r="K1003" s="67">
        <f>VLOOKUP($B968,[8]Complaints!$A$4:$AJ$39,32,)</f>
        <v>0</v>
      </c>
      <c r="L1003" s="67">
        <f>VLOOKUP($B968,[9]Complaints!$A$4:$AJ$39,32,)</f>
        <v>0</v>
      </c>
      <c r="M1003" s="67">
        <f>VLOOKUP($B968,[10]Complaints!$A$4:$AJ$39,32,)</f>
        <v>0</v>
      </c>
      <c r="N1003" s="67">
        <f>VLOOKUP($B968,[11]Complaints!$A$4:$AJ$39,32,)</f>
        <v>0</v>
      </c>
      <c r="O1003" s="68">
        <f>VLOOKUP($B968,[12]Complaints!$A$4:$AJ$39,32,)</f>
        <v>0</v>
      </c>
      <c r="P1003" s="69">
        <f t="shared" si="260"/>
        <v>0</v>
      </c>
      <c r="Q1003" s="70" t="str">
        <f>IF(P1003=0,"",P1003/$P976)</f>
        <v/>
      </c>
      <c r="R1003" s="18"/>
    </row>
    <row r="1004" spans="1:19" ht="15.75" customHeight="1" x14ac:dyDescent="0.2">
      <c r="B1004" s="146"/>
      <c r="C1004" s="38" t="s">
        <v>114</v>
      </c>
      <c r="D1004" s="66">
        <f>VLOOKUP($B968,[1]Complaints!$A$4:$AJ$39,33,)</f>
        <v>0</v>
      </c>
      <c r="E1004" s="67">
        <f>VLOOKUP($B968,[2]Complaints!$A$4:$AJ$39,33,)</f>
        <v>0</v>
      </c>
      <c r="F1004" s="67">
        <f>VLOOKUP($B968,[3]Complaints!$A$4:$AJ$39,33,)</f>
        <v>0</v>
      </c>
      <c r="G1004" s="67">
        <f>VLOOKUP($B968,[4]Complaints!$A$4:$AJ$39,33,)</f>
        <v>0</v>
      </c>
      <c r="H1004" s="67">
        <f>VLOOKUP($B968,[5]Complaints!$A$4:$AJ$39,33,)</f>
        <v>0</v>
      </c>
      <c r="I1004" s="67">
        <f>VLOOKUP($B968,[6]Complaints!$A$4:$AJ$39,33,)</f>
        <v>0</v>
      </c>
      <c r="J1004" s="67">
        <f>VLOOKUP($B968,[7]Complaints!$A$4:$AJ$39,33,)</f>
        <v>0</v>
      </c>
      <c r="K1004" s="67">
        <f>VLOOKUP($B968,[8]Complaints!$A$4:$AJ$39,33,)</f>
        <v>0</v>
      </c>
      <c r="L1004" s="67">
        <f>VLOOKUP($B968,[9]Complaints!$A$4:$AJ$39,33,)</f>
        <v>0</v>
      </c>
      <c r="M1004" s="67">
        <f>VLOOKUP($B968,[10]Complaints!$A$4:$AJ$39,33,)</f>
        <v>0</v>
      </c>
      <c r="N1004" s="67">
        <f>VLOOKUP($B968,[11]Complaints!$A$4:$AJ$39,33,)</f>
        <v>0</v>
      </c>
      <c r="O1004" s="68">
        <f>VLOOKUP($B968,[12]Complaints!$A$4:$AJ$39,33,)</f>
        <v>0</v>
      </c>
      <c r="P1004" s="69">
        <f t="shared" si="260"/>
        <v>0</v>
      </c>
      <c r="Q1004" s="70" t="str">
        <f>IF(P1004=0,"",P1004/$P976)</f>
        <v/>
      </c>
      <c r="R1004" s="18"/>
    </row>
    <row r="1005" spans="1:19" ht="15.75" customHeight="1" x14ac:dyDescent="0.2">
      <c r="B1005" s="146"/>
      <c r="C1005" s="38" t="s">
        <v>115</v>
      </c>
      <c r="D1005" s="66">
        <f>VLOOKUP($B968,[1]Complaints!$A$4:$AJ$39,34,)</f>
        <v>0</v>
      </c>
      <c r="E1005" s="67">
        <f>VLOOKUP($B968,[2]Complaints!$A$4:$AJ$39,34,)</f>
        <v>0</v>
      </c>
      <c r="F1005" s="67">
        <f>VLOOKUP($B968,[3]Complaints!$A$4:$AJ$39,34,)</f>
        <v>0</v>
      </c>
      <c r="G1005" s="67">
        <f>VLOOKUP($B968,[4]Complaints!$A$4:$AJ$39,34,)</f>
        <v>0</v>
      </c>
      <c r="H1005" s="67">
        <f>VLOOKUP($B968,[5]Complaints!$A$4:$AJ$39,34,)</f>
        <v>0</v>
      </c>
      <c r="I1005" s="67">
        <f>VLOOKUP($B968,[6]Complaints!$A$4:$AJ$39,34,)</f>
        <v>0</v>
      </c>
      <c r="J1005" s="67">
        <f>VLOOKUP($B968,[7]Complaints!$A$4:$AJ$39,34,)</f>
        <v>0</v>
      </c>
      <c r="K1005" s="67">
        <f>VLOOKUP($B968,[8]Complaints!$A$4:$AJ$39,34,)</f>
        <v>0</v>
      </c>
      <c r="L1005" s="67">
        <f>VLOOKUP($B968,[9]Complaints!$A$4:$AJ$39,34,)</f>
        <v>0</v>
      </c>
      <c r="M1005" s="67">
        <f>VLOOKUP($B968,[10]Complaints!$A$4:$AJ$39,34,)</f>
        <v>0</v>
      </c>
      <c r="N1005" s="67">
        <f>VLOOKUP($B968,[11]Complaints!$A$4:$AJ$39,34,)</f>
        <v>0</v>
      </c>
      <c r="O1005" s="68">
        <f>VLOOKUP($B968,[12]Complaints!$A$4:$AJ$39,34,)</f>
        <v>0</v>
      </c>
      <c r="P1005" s="69">
        <f t="shared" si="260"/>
        <v>0</v>
      </c>
      <c r="Q1005" s="70" t="str">
        <f>IF(P1005=0,"",P1005/$P976)</f>
        <v/>
      </c>
      <c r="R1005" s="18"/>
    </row>
    <row r="1006" spans="1:19" ht="15.75" customHeight="1" x14ac:dyDescent="0.2">
      <c r="B1006" s="146"/>
      <c r="C1006" s="38" t="s">
        <v>116</v>
      </c>
      <c r="D1006" s="66">
        <f>VLOOKUP($B968,[1]Complaints!$A$4:$AJ$39,35,)</f>
        <v>0</v>
      </c>
      <c r="E1006" s="67">
        <f>VLOOKUP($B968,[2]Complaints!$A$4:$AJ$39,35,)</f>
        <v>0</v>
      </c>
      <c r="F1006" s="67">
        <f>VLOOKUP($B968,[3]Complaints!$A$4:$AJ$39,35,)</f>
        <v>0</v>
      </c>
      <c r="G1006" s="67">
        <f>VLOOKUP($B968,[4]Complaints!$A$4:$AJ$39,35,)</f>
        <v>0</v>
      </c>
      <c r="H1006" s="67">
        <f>VLOOKUP($B968,[5]Complaints!$A$4:$AJ$39,35,)</f>
        <v>0</v>
      </c>
      <c r="I1006" s="67">
        <f>VLOOKUP($B968,[6]Complaints!$A$4:$AJ$39,35,)</f>
        <v>0</v>
      </c>
      <c r="J1006" s="67">
        <f>VLOOKUP($B968,[7]Complaints!$A$4:$AJ$39,35,)</f>
        <v>0</v>
      </c>
      <c r="K1006" s="67">
        <f>VLOOKUP($B968,[8]Complaints!$A$4:$AJ$39,35,)</f>
        <v>0</v>
      </c>
      <c r="L1006" s="67">
        <f>VLOOKUP($B968,[9]Complaints!$A$4:$AJ$39,35,)</f>
        <v>0</v>
      </c>
      <c r="M1006" s="67">
        <f>VLOOKUP($B968,[10]Complaints!$A$4:$AJ$39,35,)</f>
        <v>0</v>
      </c>
      <c r="N1006" s="67">
        <f>VLOOKUP($B968,[11]Complaints!$A$4:$AJ$39,35,)</f>
        <v>0</v>
      </c>
      <c r="O1006" s="68">
        <f>VLOOKUP($B968,[12]Complaints!$A$4:$AJ$39,35,)</f>
        <v>0</v>
      </c>
      <c r="P1006" s="69">
        <f t="shared" si="260"/>
        <v>0</v>
      </c>
      <c r="Q1006" s="70" t="str">
        <f>IF(P1006=0,"",P1006/$P976)</f>
        <v/>
      </c>
      <c r="R1006" s="18"/>
    </row>
    <row r="1007" spans="1:19" ht="15.75" customHeight="1" thickBot="1" x14ac:dyDescent="0.25">
      <c r="B1007" s="147"/>
      <c r="C1007" s="41" t="s">
        <v>117</v>
      </c>
      <c r="D1007" s="78">
        <f>VLOOKUP($B968,[1]Complaints!$A$4:$AJ$39,36,)</f>
        <v>0</v>
      </c>
      <c r="E1007" s="79">
        <f>VLOOKUP($B968,[2]Complaints!$A$4:$AJ$39,36,)</f>
        <v>0</v>
      </c>
      <c r="F1007" s="79">
        <f>VLOOKUP($B968,[3]Complaints!$A$4:$AJ$39,36,)</f>
        <v>0</v>
      </c>
      <c r="G1007" s="79">
        <f>VLOOKUP($B968,[4]Complaints!$A$4:$AJ$39,36,)</f>
        <v>0</v>
      </c>
      <c r="H1007" s="79">
        <f>VLOOKUP($B968,[5]Complaints!$A$4:$AJ$39,36,)</f>
        <v>0</v>
      </c>
      <c r="I1007" s="79">
        <f>VLOOKUP($B968,[6]Complaints!$A$4:$AJ$39,36,)</f>
        <v>0</v>
      </c>
      <c r="J1007" s="79">
        <f>VLOOKUP($B968,[7]Complaints!$A$4:$AJ$39,36,)</f>
        <v>0</v>
      </c>
      <c r="K1007" s="79">
        <f>VLOOKUP($B968,[8]Complaints!$A$4:$AJ$39,36,)</f>
        <v>0</v>
      </c>
      <c r="L1007" s="79">
        <f>VLOOKUP($B968,[9]Complaints!$A$4:$AJ$39,36,)</f>
        <v>0</v>
      </c>
      <c r="M1007" s="79">
        <f>VLOOKUP($B968,[10]Complaints!$A$4:$AJ$39,36,)</f>
        <v>0</v>
      </c>
      <c r="N1007" s="79">
        <f>VLOOKUP($B968,[11]Complaints!$A$4:$AJ$39,36,)</f>
        <v>0</v>
      </c>
      <c r="O1007" s="80">
        <f>VLOOKUP($B968,[12]Complaints!$A$4:$AJ$39,36,)</f>
        <v>0</v>
      </c>
      <c r="P1007" s="81">
        <f t="shared" si="260"/>
        <v>0</v>
      </c>
      <c r="Q1007" s="82" t="str">
        <f>IF(P1007=0,"",P1007/$P976)</f>
        <v/>
      </c>
      <c r="R1007" s="18"/>
    </row>
    <row r="1008" spans="1:19" ht="15.75" customHeight="1" thickBot="1" x14ac:dyDescent="0.25">
      <c r="R1008" s="18"/>
    </row>
    <row r="1009" spans="2:18" ht="15.75" customHeight="1" x14ac:dyDescent="0.25">
      <c r="B1009" s="158" t="s">
        <v>31</v>
      </c>
      <c r="C1009" s="159"/>
      <c r="D1009" s="32" t="s">
        <v>0</v>
      </c>
      <c r="E1009" s="20" t="s">
        <v>1</v>
      </c>
      <c r="F1009" s="20" t="s">
        <v>2</v>
      </c>
      <c r="G1009" s="20" t="s">
        <v>3</v>
      </c>
      <c r="H1009" s="20" t="s">
        <v>4</v>
      </c>
      <c r="I1009" s="20" t="s">
        <v>5</v>
      </c>
      <c r="J1009" s="20" t="s">
        <v>6</v>
      </c>
      <c r="K1009" s="20" t="s">
        <v>7</v>
      </c>
      <c r="L1009" s="20" t="s">
        <v>8</v>
      </c>
      <c r="M1009" s="20" t="s">
        <v>9</v>
      </c>
      <c r="N1009" s="20" t="s">
        <v>10</v>
      </c>
      <c r="O1009" s="33" t="s">
        <v>11</v>
      </c>
      <c r="P1009" s="35" t="s">
        <v>12</v>
      </c>
      <c r="Q1009" s="160" t="s">
        <v>104</v>
      </c>
      <c r="R1009" s="18"/>
    </row>
    <row r="1010" spans="2:18" ht="15.75" customHeight="1" thickBot="1" x14ac:dyDescent="0.3">
      <c r="B1010" s="162" t="s">
        <v>84</v>
      </c>
      <c r="C1010" s="163"/>
      <c r="D1010" s="34">
        <v>2020</v>
      </c>
      <c r="E1010" s="34">
        <v>2020</v>
      </c>
      <c r="F1010" s="34">
        <v>2020</v>
      </c>
      <c r="G1010" s="34">
        <v>2020</v>
      </c>
      <c r="H1010" s="34">
        <v>2020</v>
      </c>
      <c r="I1010" s="34">
        <v>2020</v>
      </c>
      <c r="J1010" s="34">
        <v>2020</v>
      </c>
      <c r="K1010" s="34">
        <v>2020</v>
      </c>
      <c r="L1010" s="34">
        <v>2020</v>
      </c>
      <c r="M1010" s="25">
        <v>2021</v>
      </c>
      <c r="N1010" s="25">
        <v>2021</v>
      </c>
      <c r="O1010" s="25">
        <v>2021</v>
      </c>
      <c r="P1010" s="36" t="s">
        <v>122</v>
      </c>
      <c r="Q1010" s="161"/>
      <c r="R1010" s="18"/>
    </row>
    <row r="1011" spans="2:18" ht="12.75" customHeight="1" thickBot="1" x14ac:dyDescent="0.25">
      <c r="B1011" s="164" t="s">
        <v>38</v>
      </c>
      <c r="C1011" s="165"/>
      <c r="D1011" s="42">
        <f>VLOOKUP($B1010,[1]Complaints!$A$4:$AJ$39,2,)</f>
        <v>783</v>
      </c>
      <c r="E1011" s="43">
        <f>VLOOKUP($B1010,[2]Complaints!$A$4:$AJ$39,2,)</f>
        <v>678</v>
      </c>
      <c r="F1011" s="43">
        <f>VLOOKUP($B1010,[3]Complaints!$A$4:$AJ$39,2)</f>
        <v>903</v>
      </c>
      <c r="G1011" s="43">
        <f>VLOOKUP($B1010,[4]Complaints!$A$4:$AJ$39,2)</f>
        <v>1393</v>
      </c>
      <c r="H1011" s="43">
        <f>VLOOKUP($B1010,[5]Complaints!$A$4:$AJ$39,2)</f>
        <v>1746</v>
      </c>
      <c r="I1011" s="43">
        <f>VLOOKUP($B1010,[6]Complaints!$A$4:$AJ$39,2)</f>
        <v>2018</v>
      </c>
      <c r="J1011" s="43">
        <f>VLOOKUP($B1010,[7]Complaints!$A$4:$AJ$39,2)</f>
        <v>2179</v>
      </c>
      <c r="K1011" s="43">
        <f>VLOOKUP($B1010,[8]Complaints!$A$4:$AJ$39,2)</f>
        <v>2179</v>
      </c>
      <c r="L1011" s="43">
        <f>VLOOKUP($B1010,[9]Complaints!$A$4:$AJ$39,2)</f>
        <v>1786</v>
      </c>
      <c r="M1011" s="43">
        <f>VLOOKUP($B1010,[10]Complaints!$A$4:$AJ$39,2)</f>
        <v>1296</v>
      </c>
      <c r="N1011" s="43">
        <f>VLOOKUP($B1010,[11]Complaints!$A$4:$AJ$39,2)</f>
        <v>0</v>
      </c>
      <c r="O1011" s="44">
        <f>VLOOKUP($B1010,[12]Complaints!$A$4:$AJ$39,2)</f>
        <v>0</v>
      </c>
      <c r="P1011" s="45">
        <f>SUM(D1011:O1011)</f>
        <v>14961</v>
      </c>
      <c r="Q1011" s="46"/>
      <c r="R1011" s="18"/>
    </row>
    <row r="1012" spans="2:18" ht="15.75" customHeight="1" x14ac:dyDescent="0.2">
      <c r="B1012" s="166" t="s">
        <v>94</v>
      </c>
      <c r="C1012" s="167"/>
      <c r="D1012" s="47">
        <f>VLOOKUP($B1010,[1]Complaints!$A$4:$AF$39,3,)</f>
        <v>0</v>
      </c>
      <c r="E1012" s="48">
        <f>VLOOKUP($B1010,[2]Complaints!$A$4:$AF$39,3,)</f>
        <v>1</v>
      </c>
      <c r="F1012" s="48">
        <f>VLOOKUP($B1010,[3]Complaints!$A$4:$AG$39,3,)</f>
        <v>1</v>
      </c>
      <c r="G1012" s="48">
        <f>VLOOKUP($B1010,[4]Complaints!$A$4:$AG$39,3,)</f>
        <v>1</v>
      </c>
      <c r="H1012" s="48">
        <f>VLOOKUP($B1010,[5]Complaints!$A$4:$AG$39,3,)</f>
        <v>1</v>
      </c>
      <c r="I1012" s="48">
        <f>VLOOKUP($B1010,[6]Complaints!$A$4:$AG$39,3,)</f>
        <v>1</v>
      </c>
      <c r="J1012" s="48">
        <f>VLOOKUP($B1010,[7]Complaints!$A$4:$AG$39,3,)</f>
        <v>1</v>
      </c>
      <c r="K1012" s="48">
        <f>VLOOKUP($B1010,[8]Complaints!$A$4:$AG$39,3,)</f>
        <v>1</v>
      </c>
      <c r="L1012" s="48">
        <f>VLOOKUP($B1010,[9]Complaints!$A$4:$AG$39,3,)</f>
        <v>0</v>
      </c>
      <c r="M1012" s="48">
        <f>VLOOKUP($B1010,[10]Complaints!$A$4:$AG$39,3,)</f>
        <v>0</v>
      </c>
      <c r="N1012" s="48">
        <f>VLOOKUP($B1010,[11]Complaints!$A$4:$AG$39,3,)</f>
        <v>0</v>
      </c>
      <c r="O1012" s="49">
        <f>VLOOKUP($B1010,[12]Complaints!$A$4:$AG$39,3,)</f>
        <v>0</v>
      </c>
      <c r="P1012" s="45">
        <f>SUM(D1012:O1012)</f>
        <v>7</v>
      </c>
      <c r="Q1012" s="50"/>
      <c r="R1012" s="18"/>
    </row>
    <row r="1013" spans="2:18" ht="15.75" customHeight="1" x14ac:dyDescent="0.2">
      <c r="B1013" s="26"/>
      <c r="C1013" s="28" t="s">
        <v>102</v>
      </c>
      <c r="D1013" s="51">
        <f>IF(D1011=0,"",D1012/D1011)</f>
        <v>0</v>
      </c>
      <c r="E1013" s="52">
        <f t="shared" ref="E1013:O1013" si="261">IF(E1011=0,"",E1012/E1011)</f>
        <v>1.4749262536873156E-3</v>
      </c>
      <c r="F1013" s="52">
        <f t="shared" si="261"/>
        <v>1.1074197120708748E-3</v>
      </c>
      <c r="G1013" s="52">
        <f t="shared" si="261"/>
        <v>7.1787508973438624E-4</v>
      </c>
      <c r="H1013" s="52">
        <f t="shared" si="261"/>
        <v>5.7273768613974802E-4</v>
      </c>
      <c r="I1013" s="52">
        <f t="shared" si="261"/>
        <v>4.9554013875123884E-4</v>
      </c>
      <c r="J1013" s="52">
        <f t="shared" si="261"/>
        <v>4.5892611289582378E-4</v>
      </c>
      <c r="K1013" s="52">
        <f t="shared" si="261"/>
        <v>4.5892611289582378E-4</v>
      </c>
      <c r="L1013" s="52">
        <f t="shared" si="261"/>
        <v>0</v>
      </c>
      <c r="M1013" s="52">
        <f t="shared" si="261"/>
        <v>0</v>
      </c>
      <c r="N1013" s="52" t="str">
        <f t="shared" si="261"/>
        <v/>
      </c>
      <c r="O1013" s="53" t="str">
        <f t="shared" si="261"/>
        <v/>
      </c>
      <c r="P1013" s="54">
        <f>IF(P1012="","",P1012/P1011)</f>
        <v>4.6788316289018115E-4</v>
      </c>
      <c r="Q1013" s="50"/>
      <c r="R1013" s="18"/>
    </row>
    <row r="1014" spans="2:18" s="21" customFormat="1" ht="15.75" customHeight="1" x14ac:dyDescent="0.2">
      <c r="B1014" s="155" t="s">
        <v>95</v>
      </c>
      <c r="C1014" s="156"/>
      <c r="D1014" s="47">
        <f>VLOOKUP($B1010,[1]Complaints!$A$4:$AF$39,4,)</f>
        <v>0</v>
      </c>
      <c r="E1014" s="48">
        <f>VLOOKUP($B1010,[2]Complaints!$A$4:$AF$39,4,)</f>
        <v>0</v>
      </c>
      <c r="F1014" s="48">
        <f>VLOOKUP($B1010,[3]Complaints!$A$4:$AG$39,4,)</f>
        <v>1</v>
      </c>
      <c r="G1014" s="48">
        <f>VLOOKUP($B1010,[4]Complaints!$A$4:$AG$39,4,)</f>
        <v>0</v>
      </c>
      <c r="H1014" s="48">
        <f>VLOOKUP($B1010,[5]Complaints!$A$4:$AG$39,4,)</f>
        <v>0</v>
      </c>
      <c r="I1014" s="48">
        <f>VLOOKUP($B1010,[6]Complaints!$A$4:$AG$39,4,)</f>
        <v>0</v>
      </c>
      <c r="J1014" s="48">
        <f>VLOOKUP($B1010,[7]Complaints!$A$4:$AG$39,4,)</f>
        <v>0</v>
      </c>
      <c r="K1014" s="48">
        <f>VLOOKUP($B1010,[8]Complaints!$A$4:$AG$39,4,)</f>
        <v>0</v>
      </c>
      <c r="L1014" s="48">
        <f>VLOOKUP($B1010,[9]Complaints!$A$4:$AG$39,4,)</f>
        <v>0</v>
      </c>
      <c r="M1014" s="48">
        <f>VLOOKUP($B1010,[10]Complaints!$A$4:$AG$39,4,)</f>
        <v>0</v>
      </c>
      <c r="N1014" s="48">
        <f>VLOOKUP($B1010,[11]Complaints!$A$4:$AG$39,4,)</f>
        <v>0</v>
      </c>
      <c r="O1014" s="49">
        <f>VLOOKUP($B1010,[12]Complaints!$A$4:$AG$39,4,)</f>
        <v>0</v>
      </c>
      <c r="P1014" s="55">
        <f t="shared" ref="P1014" si="262">SUM(D1014:O1014)</f>
        <v>1</v>
      </c>
      <c r="Q1014" s="50"/>
    </row>
    <row r="1015" spans="2:18" ht="15.75" customHeight="1" x14ac:dyDescent="0.2">
      <c r="B1015" s="26"/>
      <c r="C1015" s="28" t="s">
        <v>98</v>
      </c>
      <c r="D1015" s="51">
        <f>IF(D1011=0,"",D1014/D1011)</f>
        <v>0</v>
      </c>
      <c r="E1015" s="52">
        <f t="shared" ref="E1015:O1015" si="263">IF(E1011=0,"",E1014/E1011)</f>
        <v>0</v>
      </c>
      <c r="F1015" s="52">
        <f t="shared" si="263"/>
        <v>1.1074197120708748E-3</v>
      </c>
      <c r="G1015" s="52">
        <f t="shared" si="263"/>
        <v>0</v>
      </c>
      <c r="H1015" s="52">
        <f t="shared" si="263"/>
        <v>0</v>
      </c>
      <c r="I1015" s="52">
        <f t="shared" si="263"/>
        <v>0</v>
      </c>
      <c r="J1015" s="52">
        <f t="shared" si="263"/>
        <v>0</v>
      </c>
      <c r="K1015" s="52">
        <f t="shared" si="263"/>
        <v>0</v>
      </c>
      <c r="L1015" s="52">
        <f t="shared" si="263"/>
        <v>0</v>
      </c>
      <c r="M1015" s="52">
        <f t="shared" si="263"/>
        <v>0</v>
      </c>
      <c r="N1015" s="52" t="str">
        <f t="shared" si="263"/>
        <v/>
      </c>
      <c r="O1015" s="53" t="str">
        <f t="shared" si="263"/>
        <v/>
      </c>
      <c r="P1015" s="54">
        <f>IF(P1014="","",P1014/P1011)</f>
        <v>6.6840451841454447E-5</v>
      </c>
      <c r="Q1015" s="50"/>
      <c r="R1015" s="18"/>
    </row>
    <row r="1016" spans="2:18" ht="15.75" customHeight="1" x14ac:dyDescent="0.2">
      <c r="B1016" s="155" t="s">
        <v>96</v>
      </c>
      <c r="C1016" s="156"/>
      <c r="D1016" s="47">
        <f>VLOOKUP($B1010,[1]Complaints!$A$4:$AF$39,5,)</f>
        <v>0</v>
      </c>
      <c r="E1016" s="48">
        <f>VLOOKUP($B1010,[2]Complaints!$A$4:$AF$39,5,)</f>
        <v>1</v>
      </c>
      <c r="F1016" s="48">
        <f>VLOOKUP($B1010,[3]Complaints!$A$4:$AG$39,5,)</f>
        <v>0</v>
      </c>
      <c r="G1016" s="48">
        <f>VLOOKUP($B1010,[4]Complaints!$A$4:$AG$39,5,)</f>
        <v>1</v>
      </c>
      <c r="H1016" s="48">
        <f>VLOOKUP($B1010,[5]Complaints!$A$4:$AG$39,5,)</f>
        <v>1</v>
      </c>
      <c r="I1016" s="48">
        <f>VLOOKUP($B1010,[6]Complaints!$A$4:$AG$39,5,)</f>
        <v>1</v>
      </c>
      <c r="J1016" s="48">
        <f>VLOOKUP($B1010,[7]Complaints!$A$4:$AG$39,5,)</f>
        <v>1</v>
      </c>
      <c r="K1016" s="48">
        <f>VLOOKUP($B1010,[8]Complaints!$A$4:$AG$39,5,)</f>
        <v>1</v>
      </c>
      <c r="L1016" s="48">
        <f>VLOOKUP($B1010,[9]Complaints!$A$4:$AG$39,5,)</f>
        <v>0</v>
      </c>
      <c r="M1016" s="48">
        <f>VLOOKUP($B1010,[10]Complaints!$A$4:$AG$39,5,)</f>
        <v>0</v>
      </c>
      <c r="N1016" s="48">
        <f>VLOOKUP($B1010,[11]Complaints!$A$4:$AG$39,5,)</f>
        <v>0</v>
      </c>
      <c r="O1016" s="49">
        <f>VLOOKUP($B1010,[12]Complaints!$A$4:$AG$39,5,)</f>
        <v>0</v>
      </c>
      <c r="P1016" s="55">
        <f t="shared" ref="P1016" si="264">SUM(D1016:O1016)</f>
        <v>6</v>
      </c>
      <c r="Q1016" s="50"/>
      <c r="R1016" s="18"/>
    </row>
    <row r="1017" spans="2:18" ht="15.75" customHeight="1" x14ac:dyDescent="0.2">
      <c r="B1017" s="26"/>
      <c r="C1017" s="28" t="s">
        <v>99</v>
      </c>
      <c r="D1017" s="51">
        <f>IF(D1011=0,"",D1016/D1011)</f>
        <v>0</v>
      </c>
      <c r="E1017" s="52">
        <f t="shared" ref="E1017:O1017" si="265">IF(E1011=0,"",E1016/E1011)</f>
        <v>1.4749262536873156E-3</v>
      </c>
      <c r="F1017" s="52">
        <f t="shared" si="265"/>
        <v>0</v>
      </c>
      <c r="G1017" s="52">
        <f t="shared" si="265"/>
        <v>7.1787508973438624E-4</v>
      </c>
      <c r="H1017" s="52">
        <f t="shared" si="265"/>
        <v>5.7273768613974802E-4</v>
      </c>
      <c r="I1017" s="52">
        <f t="shared" si="265"/>
        <v>4.9554013875123884E-4</v>
      </c>
      <c r="J1017" s="52">
        <f t="shared" si="265"/>
        <v>4.5892611289582378E-4</v>
      </c>
      <c r="K1017" s="52">
        <f t="shared" si="265"/>
        <v>4.5892611289582378E-4</v>
      </c>
      <c r="L1017" s="52">
        <f t="shared" si="265"/>
        <v>0</v>
      </c>
      <c r="M1017" s="52">
        <f t="shared" si="265"/>
        <v>0</v>
      </c>
      <c r="N1017" s="52" t="str">
        <f t="shared" si="265"/>
        <v/>
      </c>
      <c r="O1017" s="53" t="str">
        <f t="shared" si="265"/>
        <v/>
      </c>
      <c r="P1017" s="54">
        <f>IF(P1016="","",P1016/P1011)</f>
        <v>4.0104271104872668E-4</v>
      </c>
      <c r="Q1017" s="50"/>
      <c r="R1017" s="18"/>
    </row>
    <row r="1018" spans="2:18" ht="15.75" customHeight="1" x14ac:dyDescent="0.2">
      <c r="B1018" s="157" t="s">
        <v>97</v>
      </c>
      <c r="C1018" s="156"/>
      <c r="D1018" s="47">
        <f>VLOOKUP($B1010,[1]Complaints!$A$4:$AF$39,6,)</f>
        <v>0</v>
      </c>
      <c r="E1018" s="48">
        <f>VLOOKUP($B1010,[2]Complaints!$A$4:$AF$39,6,)</f>
        <v>0</v>
      </c>
      <c r="F1018" s="48">
        <f>VLOOKUP($B1010,[3]Complaints!$A$4:$AG$39,6,)</f>
        <v>0</v>
      </c>
      <c r="G1018" s="48">
        <f>VLOOKUP($B1010,[4]Complaints!$A$4:$AG$39,6,)</f>
        <v>1</v>
      </c>
      <c r="H1018" s="48">
        <f>VLOOKUP($B1010,[5]Complaints!$A$4:$AG$39,6,)</f>
        <v>1</v>
      </c>
      <c r="I1018" s="48">
        <f>VLOOKUP($B1010,[6]Complaints!$A$4:$AG$39,6,)</f>
        <v>1</v>
      </c>
      <c r="J1018" s="48">
        <f>VLOOKUP($B1010,[7]Complaints!$A$4:$AG$39,6,)</f>
        <v>1</v>
      </c>
      <c r="K1018" s="48">
        <f>VLOOKUP($B1010,[8]Complaints!$A$4:$AG$39,6,)</f>
        <v>1</v>
      </c>
      <c r="L1018" s="48">
        <f>VLOOKUP($B1010,[9]Complaints!$A$4:$AG$39,6,)</f>
        <v>0</v>
      </c>
      <c r="M1018" s="48">
        <f>VLOOKUP($B1010,[10]Complaints!$A$4:$AG$39,6,)</f>
        <v>0</v>
      </c>
      <c r="N1018" s="48">
        <f>VLOOKUP($B1010,[11]Complaints!$A$4:$AG$39,6,)</f>
        <v>0</v>
      </c>
      <c r="O1018" s="49">
        <f>VLOOKUP($B1010,[12]Complaints!$A$4:$AG$39,6,)</f>
        <v>0</v>
      </c>
      <c r="P1018" s="55">
        <f t="shared" ref="P1018" si="266">SUM(D1018:O1018)</f>
        <v>5</v>
      </c>
      <c r="Q1018" s="50"/>
      <c r="R1018" s="18"/>
    </row>
    <row r="1019" spans="2:18" ht="15.75" customHeight="1" thickBot="1" x14ac:dyDescent="0.25">
      <c r="B1019" s="27"/>
      <c r="C1019" s="29" t="s">
        <v>100</v>
      </c>
      <c r="D1019" s="56" t="str">
        <f>IF(D1018=0,"",D1018/D1016)</f>
        <v/>
      </c>
      <c r="E1019" s="57" t="str">
        <f t="shared" ref="E1019:H1019" si="267">IF(E1018=0,"",E1018/E1016)</f>
        <v/>
      </c>
      <c r="F1019" s="57" t="str">
        <f t="shared" si="267"/>
        <v/>
      </c>
      <c r="G1019" s="57">
        <f t="shared" si="267"/>
        <v>1</v>
      </c>
      <c r="H1019" s="57">
        <f t="shared" si="267"/>
        <v>1</v>
      </c>
      <c r="I1019" s="57">
        <f>IF(I1018=0,"",I1018/I1016)</f>
        <v>1</v>
      </c>
      <c r="J1019" s="57">
        <f t="shared" ref="J1019:O1019" si="268">IF(J1018=0,"",J1018/J1016)</f>
        <v>1</v>
      </c>
      <c r="K1019" s="57">
        <f t="shared" si="268"/>
        <v>1</v>
      </c>
      <c r="L1019" s="57" t="str">
        <f t="shared" si="268"/>
        <v/>
      </c>
      <c r="M1019" s="57" t="str">
        <f t="shared" si="268"/>
        <v/>
      </c>
      <c r="N1019" s="57" t="str">
        <f t="shared" si="268"/>
        <v/>
      </c>
      <c r="O1019" s="58" t="str">
        <f t="shared" si="268"/>
        <v/>
      </c>
      <c r="P1019" s="59">
        <f>IF(P1018=0,"",P1018/P1016)</f>
        <v>0.83333333333333337</v>
      </c>
      <c r="Q1019" s="60"/>
      <c r="R1019" s="18"/>
    </row>
    <row r="1020" spans="2:18" ht="15.75" customHeight="1" x14ac:dyDescent="0.2">
      <c r="B1020" s="168" t="s">
        <v>103</v>
      </c>
      <c r="C1020" s="30" t="s">
        <v>77</v>
      </c>
      <c r="D1020" s="61">
        <f>VLOOKUP($B1010,[1]Complaints!$A$4:$AJ$39,7,)</f>
        <v>0</v>
      </c>
      <c r="E1020" s="43">
        <f>VLOOKUP($B1010,[2]Complaints!$A$4:$AJ$39,7,)</f>
        <v>0</v>
      </c>
      <c r="F1020" s="43">
        <f>VLOOKUP($B1010,[3]Complaints!$A$4:$AJ$39,7,)</f>
        <v>0</v>
      </c>
      <c r="G1020" s="43">
        <f>VLOOKUP($B1010,[4]Complaints!$A$4:$AJ$39,7,)</f>
        <v>0</v>
      </c>
      <c r="H1020" s="43">
        <f>VLOOKUP($B1010,[5]Complaints!$A$4:$AJ$39,7,)</f>
        <v>0</v>
      </c>
      <c r="I1020" s="43">
        <f>VLOOKUP($B1010,[6]Complaints!$A$4:$AJ$39,7,)</f>
        <v>0</v>
      </c>
      <c r="J1020" s="43">
        <f>VLOOKUP($B1010,[7]Complaints!$A$4:$AJ$39,7,)</f>
        <v>0</v>
      </c>
      <c r="K1020" s="43">
        <f>VLOOKUP($B1010,[8]Complaints!$A$4:$AJ$39,7,)</f>
        <v>0</v>
      </c>
      <c r="L1020" s="43">
        <f>VLOOKUP($B1010,[9]Complaints!$A$4:$AJ$39,7,)</f>
        <v>0</v>
      </c>
      <c r="M1020" s="43">
        <f>VLOOKUP($B1010,[10]Complaints!$A$4:$AJ$39,7,)</f>
        <v>0</v>
      </c>
      <c r="N1020" s="43">
        <f>VLOOKUP($B1010,[11]Complaints!$A$4:$AJ$39,7,)</f>
        <v>0</v>
      </c>
      <c r="O1020" s="44">
        <f>VLOOKUP($B1010,[12]Complaints!$A$4:$AJ$39,7,)</f>
        <v>0</v>
      </c>
      <c r="P1020" s="45">
        <f>SUM(D1020:O1020)</f>
        <v>0</v>
      </c>
      <c r="Q1020" s="46" t="str">
        <f>IF(P1020=0,"",P1020/$P1012)</f>
        <v/>
      </c>
      <c r="R1020" s="18"/>
    </row>
    <row r="1021" spans="2:18" ht="15.75" customHeight="1" x14ac:dyDescent="0.2">
      <c r="B1021" s="169"/>
      <c r="C1021" s="31" t="s">
        <v>89</v>
      </c>
      <c r="D1021" s="47">
        <f>VLOOKUP($B1010,[1]Complaints!$A$4:$AJ$39,8,)</f>
        <v>0</v>
      </c>
      <c r="E1021" s="48">
        <f>VLOOKUP($B1010,[2]Complaints!$A$4:$AJ$39,8,)</f>
        <v>1</v>
      </c>
      <c r="F1021" s="48">
        <f>VLOOKUP($B1010,[3]Complaints!$A$4:$AJ$39,8,)</f>
        <v>0</v>
      </c>
      <c r="G1021" s="48">
        <f>VLOOKUP($B1010,[4]Complaints!$A$4:$AJ$39,8,)</f>
        <v>0</v>
      </c>
      <c r="H1021" s="48">
        <f>VLOOKUP($B1010,[5]Complaints!$A$4:$AJ$39,8,)</f>
        <v>0</v>
      </c>
      <c r="I1021" s="48">
        <f>VLOOKUP($B1010,[6]Complaints!$A$4:$AJ$39,8,)</f>
        <v>1</v>
      </c>
      <c r="J1021" s="48">
        <f>VLOOKUP($B1010,[7]Complaints!$A$4:$AJ$39,8,)</f>
        <v>0</v>
      </c>
      <c r="K1021" s="48">
        <f>VLOOKUP($B1010,[8]Complaints!$A$4:$AJ$39,8,)</f>
        <v>2</v>
      </c>
      <c r="L1021" s="48">
        <f>VLOOKUP($B1010,[9]Complaints!$A$4:$AJ$39,8,)</f>
        <v>0</v>
      </c>
      <c r="M1021" s="48">
        <f>VLOOKUP($B1010,[10]Complaints!$A$4:$AJ$39,8,)</f>
        <v>0</v>
      </c>
      <c r="N1021" s="48">
        <f>VLOOKUP($B1010,[11]Complaints!$A$4:$AJ$39,8,)</f>
        <v>0</v>
      </c>
      <c r="O1021" s="49">
        <f>VLOOKUP($B1010,[12]Complaints!$A$4:$AJ$39,8,)</f>
        <v>0</v>
      </c>
      <c r="P1021" s="55">
        <f t="shared" ref="P1021:P1022" si="269">SUM(D1021:O1021)</f>
        <v>4</v>
      </c>
      <c r="Q1021" s="50">
        <f>IF(P1021="","",P1021/$P1012)</f>
        <v>0.5714285714285714</v>
      </c>
      <c r="R1021" s="18"/>
    </row>
    <row r="1022" spans="2:18" ht="15.75" customHeight="1" x14ac:dyDescent="0.2">
      <c r="B1022" s="169"/>
      <c r="C1022" s="31" t="s">
        <v>88</v>
      </c>
      <c r="D1022" s="47">
        <f>VLOOKUP($B1010,[1]Complaints!$A$4:$AJ$39,9,)</f>
        <v>0</v>
      </c>
      <c r="E1022" s="48">
        <f>VLOOKUP($B1010,[2]Complaints!$A$4:$AJ$39,9,)</f>
        <v>0</v>
      </c>
      <c r="F1022" s="48">
        <f>VLOOKUP($B1010,[3]Complaints!$A$4:$AJ$39,9,)</f>
        <v>0</v>
      </c>
      <c r="G1022" s="48">
        <f>VLOOKUP($B1010,[4]Complaints!$A$4:$AJ$39,9,)</f>
        <v>0</v>
      </c>
      <c r="H1022" s="48">
        <f>VLOOKUP($B1010,[5]Complaints!$A$4:$AJ$39,9,)</f>
        <v>0</v>
      </c>
      <c r="I1022" s="48">
        <f>VLOOKUP($B1010,[6]Complaints!$A$4:$AJ$39,9,)</f>
        <v>0</v>
      </c>
      <c r="J1022" s="48">
        <f>VLOOKUP($B1010,[7]Complaints!$A$4:$AJ$39,9,)</f>
        <v>0</v>
      </c>
      <c r="K1022" s="48">
        <f>VLOOKUP($B1010,[8]Complaints!$A$4:$AJ$39,9,)</f>
        <v>0</v>
      </c>
      <c r="L1022" s="48">
        <f>VLOOKUP($B1010,[9]Complaints!$A$4:$AJ$39,9,)</f>
        <v>0</v>
      </c>
      <c r="M1022" s="48">
        <f>VLOOKUP($B1010,[10]Complaints!$A$4:$AJ$39,9,)</f>
        <v>0</v>
      </c>
      <c r="N1022" s="48">
        <f>VLOOKUP($B1010,[11]Complaints!$A$4:$AJ$39,9,)</f>
        <v>0</v>
      </c>
      <c r="O1022" s="49">
        <f>VLOOKUP($B1010,[12]Complaints!$A$4:$AJ$39,9,)</f>
        <v>0</v>
      </c>
      <c r="P1022" s="55">
        <f t="shared" si="269"/>
        <v>0</v>
      </c>
      <c r="Q1022" s="50" t="str">
        <f>IF(P1022=0,"",P1022/$P1012)</f>
        <v/>
      </c>
      <c r="R1022" s="18"/>
    </row>
    <row r="1023" spans="2:18" ht="15.75" customHeight="1" x14ac:dyDescent="0.2">
      <c r="B1023" s="169"/>
      <c r="C1023" s="31" t="s">
        <v>13</v>
      </c>
      <c r="D1023" s="47">
        <f>VLOOKUP($B1010,[1]Complaints!$A$4:$AJ$39,10,)</f>
        <v>0</v>
      </c>
      <c r="E1023" s="48">
        <f>VLOOKUP($B1010,[2]Complaints!$A$4:$AJ$39,10,)</f>
        <v>0</v>
      </c>
      <c r="F1023" s="48">
        <f>VLOOKUP($B1010,[3]Complaints!$A$4:$AJ$39,10,)</f>
        <v>1</v>
      </c>
      <c r="G1023" s="48">
        <f>VLOOKUP($B1010,[4]Complaints!$A$4:$AJ$39,10,)</f>
        <v>0</v>
      </c>
      <c r="H1023" s="48">
        <f>VLOOKUP($B1010,[5]Complaints!$A$4:$AJ$39,10,)</f>
        <v>0</v>
      </c>
      <c r="I1023" s="48">
        <f>VLOOKUP($B1010,[6]Complaints!$A$4:$AJ$39,10,)</f>
        <v>0</v>
      </c>
      <c r="J1023" s="48">
        <f>VLOOKUP($B1010,[7]Complaints!$A$4:$AJ$39,10,)</f>
        <v>0</v>
      </c>
      <c r="K1023" s="48">
        <f>VLOOKUP($B1010,[8]Complaints!$A$4:$AJ$39,10,)</f>
        <v>2</v>
      </c>
      <c r="L1023" s="48">
        <f>VLOOKUP($B1010,[9]Complaints!$A$4:$AJ$39,10,)</f>
        <v>0</v>
      </c>
      <c r="M1023" s="48">
        <f>VLOOKUP($B1010,[10]Complaints!$A$4:$AJ$39,10,)</f>
        <v>0</v>
      </c>
      <c r="N1023" s="48">
        <f>VLOOKUP($B1010,[11]Complaints!$A$4:$AJ$39,10,)</f>
        <v>0</v>
      </c>
      <c r="O1023" s="49">
        <f>VLOOKUP($B1010,[12]Complaints!$A$4:$AJ$39,10,)</f>
        <v>0</v>
      </c>
      <c r="P1023" s="55">
        <f>SUM(D1023:O1023)</f>
        <v>3</v>
      </c>
      <c r="Q1023" s="50">
        <f>IF(P1023=0,"",P1023/$P1012)</f>
        <v>0.42857142857142855</v>
      </c>
      <c r="R1023" s="18"/>
    </row>
    <row r="1024" spans="2:18" ht="15.75" customHeight="1" x14ac:dyDescent="0.2">
      <c r="B1024" s="169"/>
      <c r="C1024" s="31" t="s">
        <v>101</v>
      </c>
      <c r="D1024" s="47">
        <f>VLOOKUP($B1010,[1]Complaints!$A$4:$AJ$39,11,)</f>
        <v>0</v>
      </c>
      <c r="E1024" s="48">
        <f>VLOOKUP($B1010,[2]Complaints!$A$4:$AJ$39,11,)</f>
        <v>0</v>
      </c>
      <c r="F1024" s="48">
        <f>VLOOKUP($B1010,[3]Complaints!$A$4:$AJ$39,11,)</f>
        <v>0</v>
      </c>
      <c r="G1024" s="48">
        <f>VLOOKUP($B1010,[4]Complaints!$A$4:$AJ$39,11,)</f>
        <v>0</v>
      </c>
      <c r="H1024" s="48">
        <f>VLOOKUP($B1010,[5]Complaints!$A$4:$AJ$39,11,)</f>
        <v>1</v>
      </c>
      <c r="I1024" s="48">
        <f>VLOOKUP($B1010,[6]Complaints!$A$4:$AJ$39,11,)</f>
        <v>0</v>
      </c>
      <c r="J1024" s="48">
        <f>VLOOKUP($B1010,[7]Complaints!$A$4:$AJ$39,11,)</f>
        <v>0</v>
      </c>
      <c r="K1024" s="48">
        <f>VLOOKUP($B1010,[8]Complaints!$A$4:$AJ$39,11,)</f>
        <v>0</v>
      </c>
      <c r="L1024" s="48">
        <f>VLOOKUP($B1010,[9]Complaints!$A$4:$AJ$39,11,)</f>
        <v>0</v>
      </c>
      <c r="M1024" s="48">
        <f>VLOOKUP($B1010,[10]Complaints!$A$4:$AJ$39,11,)</f>
        <v>0</v>
      </c>
      <c r="N1024" s="48">
        <f>VLOOKUP($B1010,[11]Complaints!$A$4:$AJ$39,11,)</f>
        <v>0</v>
      </c>
      <c r="O1024" s="49">
        <f>VLOOKUP($B1010,[12]Complaints!$A$4:$AJ$39,11,)</f>
        <v>0</v>
      </c>
      <c r="P1024" s="55">
        <f t="shared" ref="P1024:P1033" si="270">SUM(D1024:O1024)</f>
        <v>1</v>
      </c>
      <c r="Q1024" s="50">
        <f>IF(P1024=0,"",P1024/$P1012)</f>
        <v>0.14285714285714285</v>
      </c>
      <c r="R1024" s="18"/>
    </row>
    <row r="1025" spans="1:19" s="19" customFormat="1" ht="15.75" customHeight="1" x14ac:dyDescent="0.2">
      <c r="B1025" s="169"/>
      <c r="C1025" s="31" t="s">
        <v>93</v>
      </c>
      <c r="D1025" s="47">
        <f>VLOOKUP($B1010,[1]Complaints!$A$4:$AJ$39,12,)</f>
        <v>0</v>
      </c>
      <c r="E1025" s="48">
        <f>VLOOKUP($B1010,[2]Complaints!$A$4:$AJ$39,12,)</f>
        <v>0</v>
      </c>
      <c r="F1025" s="48">
        <f>VLOOKUP($B1010,[3]Complaints!$A$4:$AJ$39,12,)</f>
        <v>0</v>
      </c>
      <c r="G1025" s="48">
        <f>VLOOKUP($B1010,[4]Complaints!$A$4:$AJ$39,12,)</f>
        <v>1</v>
      </c>
      <c r="H1025" s="48">
        <f>VLOOKUP($B1010,[5]Complaints!$A$4:$AJ$39,12,)</f>
        <v>0</v>
      </c>
      <c r="I1025" s="48">
        <f>VLOOKUP($B1010,[6]Complaints!$A$4:$AJ$39,12,)</f>
        <v>0</v>
      </c>
      <c r="J1025" s="48">
        <f>VLOOKUP($B1010,[7]Complaints!$A$4:$AJ$39,12,)</f>
        <v>0</v>
      </c>
      <c r="K1025" s="48">
        <f>VLOOKUP($B1010,[8]Complaints!$A$4:$AJ$39,12,)</f>
        <v>0</v>
      </c>
      <c r="L1025" s="48">
        <f>VLOOKUP($B1010,[9]Complaints!$A$4:$AJ$39,12,)</f>
        <v>0</v>
      </c>
      <c r="M1025" s="48">
        <f>VLOOKUP($B1010,[10]Complaints!$A$4:$AJ$39,12,)</f>
        <v>0</v>
      </c>
      <c r="N1025" s="48">
        <f>VLOOKUP($B1010,[11]Complaints!$A$4:$AJ$39,12,)</f>
        <v>0</v>
      </c>
      <c r="O1025" s="49">
        <f>VLOOKUP($B1010,[12]Complaints!$A$4:$AJ$39,12,)</f>
        <v>0</v>
      </c>
      <c r="P1025" s="55">
        <f t="shared" si="270"/>
        <v>1</v>
      </c>
      <c r="Q1025" s="50">
        <f>IF(P1025=0,"",P1025/$P1012)</f>
        <v>0.14285714285714285</v>
      </c>
    </row>
    <row r="1026" spans="1:19" ht="15.75" customHeight="1" x14ac:dyDescent="0.2">
      <c r="B1026" s="169"/>
      <c r="C1026" s="31" t="s">
        <v>78</v>
      </c>
      <c r="D1026" s="47">
        <f>VLOOKUP($B1010,[1]Complaints!$A$4:$AJ$39,13,)</f>
        <v>0</v>
      </c>
      <c r="E1026" s="48">
        <f>VLOOKUP($B1010,[2]Complaints!$A$4:$AJ$39,13,)</f>
        <v>0</v>
      </c>
      <c r="F1026" s="48">
        <f>VLOOKUP($B1010,[3]Complaints!$A$4:$AJ$39,13,)</f>
        <v>0</v>
      </c>
      <c r="G1026" s="48">
        <f>VLOOKUP($B1010,[4]Complaints!$A$4:$AJ$39,13,)</f>
        <v>0</v>
      </c>
      <c r="H1026" s="48">
        <f>VLOOKUP($B1010,[5]Complaints!$A$4:$AJ$39,13,)</f>
        <v>0</v>
      </c>
      <c r="I1026" s="48">
        <f>VLOOKUP($B1010,[6]Complaints!$A$4:$AJ$39,13,)</f>
        <v>0</v>
      </c>
      <c r="J1026" s="48">
        <f>VLOOKUP($B1010,[7]Complaints!$A$4:$AJ$39,13,)</f>
        <v>0</v>
      </c>
      <c r="K1026" s="48">
        <f>VLOOKUP($B1010,[8]Complaints!$A$4:$AJ$39,13,)</f>
        <v>0</v>
      </c>
      <c r="L1026" s="48">
        <f>VLOOKUP($B1010,[9]Complaints!$A$4:$AJ$39,13,)</f>
        <v>0</v>
      </c>
      <c r="M1026" s="48">
        <f>VLOOKUP($B1010,[10]Complaints!$A$4:$AJ$39,13,)</f>
        <v>0</v>
      </c>
      <c r="N1026" s="48">
        <f>VLOOKUP($B1010,[11]Complaints!$A$4:$AJ$39,13,)</f>
        <v>0</v>
      </c>
      <c r="O1026" s="49">
        <f>VLOOKUP($B1010,[12]Complaints!$A$4:$AJ$39,13,)</f>
        <v>0</v>
      </c>
      <c r="P1026" s="55">
        <f t="shared" si="270"/>
        <v>0</v>
      </c>
      <c r="Q1026" s="50" t="str">
        <f>IF(P1026=0,"",P1026/$P1012)</f>
        <v/>
      </c>
      <c r="R1026" s="18"/>
    </row>
    <row r="1027" spans="1:19" ht="15.75" customHeight="1" x14ac:dyDescent="0.2">
      <c r="B1027" s="169"/>
      <c r="C1027" s="31" t="s">
        <v>92</v>
      </c>
      <c r="D1027" s="47">
        <f>VLOOKUP($B1010,[1]Complaints!$A$4:$AJ$39,14,)</f>
        <v>0</v>
      </c>
      <c r="E1027" s="48">
        <f>VLOOKUP($B1010,[2]Complaints!$A$4:$AJ$39,14,)</f>
        <v>0</v>
      </c>
      <c r="F1027" s="48">
        <f>VLOOKUP($B1010,[3]Complaints!$A$4:$AJ$39,14,)</f>
        <v>0</v>
      </c>
      <c r="G1027" s="48">
        <f>VLOOKUP($B1010,[4]Complaints!$A$4:$AJ$39,14,)</f>
        <v>0</v>
      </c>
      <c r="H1027" s="48">
        <f>VLOOKUP($B1010,[5]Complaints!$A$4:$AJ$39,14,)</f>
        <v>0</v>
      </c>
      <c r="I1027" s="48">
        <f>VLOOKUP($B1010,[6]Complaints!$A$4:$AJ$39,14,)</f>
        <v>0</v>
      </c>
      <c r="J1027" s="48">
        <f>VLOOKUP($B1010,[7]Complaints!$A$4:$AJ$39,14,)</f>
        <v>0</v>
      </c>
      <c r="K1027" s="48">
        <f>VLOOKUP($B1010,[8]Complaints!$A$4:$AJ$39,14,)</f>
        <v>0</v>
      </c>
      <c r="L1027" s="48">
        <f>VLOOKUP($B1010,[9]Complaints!$A$4:$AJ$39,14,)</f>
        <v>0</v>
      </c>
      <c r="M1027" s="48">
        <f>VLOOKUP($B1010,[10]Complaints!$A$4:$AJ$39,14,)</f>
        <v>0</v>
      </c>
      <c r="N1027" s="48">
        <f>VLOOKUP($B1010,[11]Complaints!$A$4:$AJ$39,14,)</f>
        <v>0</v>
      </c>
      <c r="O1027" s="49">
        <f>VLOOKUP($B1010,[12]Complaints!$A$4:$AJ$39,14,)</f>
        <v>0</v>
      </c>
      <c r="P1027" s="55">
        <f t="shared" si="270"/>
        <v>0</v>
      </c>
      <c r="Q1027" s="50" t="str">
        <f>IF(P1027=0,"",P1027/$P1012)</f>
        <v/>
      </c>
      <c r="R1027" s="18"/>
    </row>
    <row r="1028" spans="1:19" ht="15.75" customHeight="1" x14ac:dyDescent="0.2">
      <c r="B1028" s="169"/>
      <c r="C1028" s="31" t="s">
        <v>91</v>
      </c>
      <c r="D1028" s="47">
        <f>VLOOKUP($B1010,[1]Complaints!$A$4:$AJ$39,15,)</f>
        <v>0</v>
      </c>
      <c r="E1028" s="48">
        <f>VLOOKUP($B1010,[2]Complaints!$A$4:$AJ$39,15,)</f>
        <v>0</v>
      </c>
      <c r="F1028" s="48">
        <f>VLOOKUP($B1010,[3]Complaints!$A$4:$AJ$39,15,)</f>
        <v>0</v>
      </c>
      <c r="G1028" s="48">
        <f>VLOOKUP($B1010,[4]Complaints!$A$4:$AJ$39,15,)</f>
        <v>0</v>
      </c>
      <c r="H1028" s="48">
        <f>VLOOKUP($B1010,[5]Complaints!$A$4:$AJ$39,15,)</f>
        <v>0</v>
      </c>
      <c r="I1028" s="48">
        <f>VLOOKUP($B1010,[6]Complaints!$A$4:$AJ$39,15,)</f>
        <v>0</v>
      </c>
      <c r="J1028" s="48">
        <f>VLOOKUP($B1010,[7]Complaints!$A$4:$AJ$39,15,)</f>
        <v>1</v>
      </c>
      <c r="K1028" s="48">
        <f>VLOOKUP($B1010,[8]Complaints!$A$4:$AJ$39,15,)</f>
        <v>0</v>
      </c>
      <c r="L1028" s="48">
        <f>VLOOKUP($B1010,[9]Complaints!$A$4:$AJ$39,15,)</f>
        <v>0</v>
      </c>
      <c r="M1028" s="48">
        <f>VLOOKUP($B1010,[10]Complaints!$A$4:$AJ$39,15,)</f>
        <v>0</v>
      </c>
      <c r="N1028" s="48">
        <f>VLOOKUP($B1010,[11]Complaints!$A$4:$AJ$39,15,)</f>
        <v>0</v>
      </c>
      <c r="O1028" s="49">
        <f>VLOOKUP($B1010,[12]Complaints!$A$4:$AJ$39,15,)</f>
        <v>0</v>
      </c>
      <c r="P1028" s="55">
        <f t="shared" si="270"/>
        <v>1</v>
      </c>
      <c r="Q1028" s="50">
        <f>IF(P1028=0,"",P1028/$P1012)</f>
        <v>0.14285714285714285</v>
      </c>
      <c r="R1028" s="18"/>
    </row>
    <row r="1029" spans="1:19" ht="15.75" customHeight="1" x14ac:dyDescent="0.2">
      <c r="B1029" s="169"/>
      <c r="C1029" s="31" t="s">
        <v>79</v>
      </c>
      <c r="D1029" s="47">
        <f>VLOOKUP($B1010,[1]Complaints!$A$4:$AJ$39,16,)</f>
        <v>0</v>
      </c>
      <c r="E1029" s="48">
        <f>VLOOKUP($B1010,[2]Complaints!$A$4:$AJ$39,16,)</f>
        <v>0</v>
      </c>
      <c r="F1029" s="48">
        <f>VLOOKUP($B1010,[3]Complaints!$A$4:$AJ$39,16,)</f>
        <v>0</v>
      </c>
      <c r="G1029" s="48">
        <f>VLOOKUP($B1010,[4]Complaints!$A$4:$AJ$39,16,)</f>
        <v>0</v>
      </c>
      <c r="H1029" s="48">
        <f>VLOOKUP($B1010,[5]Complaints!$A$4:$AJ$39,16,)</f>
        <v>0</v>
      </c>
      <c r="I1029" s="48">
        <f>VLOOKUP($B1010,[6]Complaints!$A$4:$AJ$39,16,)</f>
        <v>0</v>
      </c>
      <c r="J1029" s="48">
        <f>VLOOKUP($B1010,[7]Complaints!$A$4:$AJ$39,16,)</f>
        <v>0</v>
      </c>
      <c r="K1029" s="48">
        <f>VLOOKUP($B1010,[8]Complaints!$A$4:$AJ$39,16,)</f>
        <v>0</v>
      </c>
      <c r="L1029" s="48">
        <f>VLOOKUP($B1010,[9]Complaints!$A$4:$AJ$39,16,)</f>
        <v>0</v>
      </c>
      <c r="M1029" s="48">
        <f>VLOOKUP($B1010,[10]Complaints!$A$4:$AJ$39,16,)</f>
        <v>0</v>
      </c>
      <c r="N1029" s="48">
        <f>VLOOKUP($B1010,[11]Complaints!$A$4:$AJ$39,16,)</f>
        <v>0</v>
      </c>
      <c r="O1029" s="49">
        <f>VLOOKUP($B1010,[12]Complaints!$A$4:$AJ$39,16,)</f>
        <v>0</v>
      </c>
      <c r="P1029" s="55">
        <f t="shared" si="270"/>
        <v>0</v>
      </c>
      <c r="Q1029" s="50" t="str">
        <f>IF(P1029=0,"",P1029/$P1012)</f>
        <v/>
      </c>
      <c r="R1029" s="18"/>
    </row>
    <row r="1030" spans="1:19" ht="15.75" customHeight="1" x14ac:dyDescent="0.2">
      <c r="B1030" s="169"/>
      <c r="C1030" s="31" t="s">
        <v>80</v>
      </c>
      <c r="D1030" s="47">
        <f>VLOOKUP($B1010,[1]Complaints!$A$4:$AJ$39,17,)</f>
        <v>0</v>
      </c>
      <c r="E1030" s="48">
        <f>VLOOKUP($B1010,[2]Complaints!$A$4:$AJ$39,17,)</f>
        <v>0</v>
      </c>
      <c r="F1030" s="48">
        <f>VLOOKUP($B1010,[3]Complaints!$A$4:$AJ$39,17,)</f>
        <v>0</v>
      </c>
      <c r="G1030" s="48">
        <f>VLOOKUP($B1010,[4]Complaints!$A$4:$AJ$39,17,)</f>
        <v>0</v>
      </c>
      <c r="H1030" s="48">
        <f>VLOOKUP($B1010,[5]Complaints!$A$4:$AJ$39,17,)</f>
        <v>0</v>
      </c>
      <c r="I1030" s="48">
        <f>VLOOKUP($B1010,[6]Complaints!$A$4:$AJ$39,17,)</f>
        <v>0</v>
      </c>
      <c r="J1030" s="48">
        <f>VLOOKUP($B1010,[7]Complaints!$A$4:$AJ$39,17,)</f>
        <v>0</v>
      </c>
      <c r="K1030" s="48">
        <f>VLOOKUP($B1010,[8]Complaints!$A$4:$AJ$39,17,)</f>
        <v>0</v>
      </c>
      <c r="L1030" s="48">
        <f>VLOOKUP($B1010,[9]Complaints!$A$4:$AJ$39,17,)</f>
        <v>0</v>
      </c>
      <c r="M1030" s="48">
        <f>VLOOKUP($B1010,[10]Complaints!$A$4:$AJ$39,17,)</f>
        <v>0</v>
      </c>
      <c r="N1030" s="48">
        <f>VLOOKUP($B1010,[11]Complaints!$A$4:$AJ$39,17,)</f>
        <v>0</v>
      </c>
      <c r="O1030" s="49">
        <f>VLOOKUP($B1010,[12]Complaints!$A$4:$AJ$39,17,)</f>
        <v>0</v>
      </c>
      <c r="P1030" s="55">
        <f t="shared" si="270"/>
        <v>0</v>
      </c>
      <c r="Q1030" s="50" t="str">
        <f>IF(P1030=0,"",P1030/$P1012)</f>
        <v/>
      </c>
      <c r="R1030" s="18"/>
    </row>
    <row r="1031" spans="1:19" ht="15.75" customHeight="1" x14ac:dyDescent="0.2">
      <c r="B1031" s="169"/>
      <c r="C1031" s="31" t="s">
        <v>81</v>
      </c>
      <c r="D1031" s="47">
        <f>VLOOKUP($B1010,[1]Complaints!$A$4:$AJ$39,18,)</f>
        <v>0</v>
      </c>
      <c r="E1031" s="48">
        <f>VLOOKUP($B1010,[2]Complaints!$A$4:$AJ$39,18,)</f>
        <v>0</v>
      </c>
      <c r="F1031" s="48">
        <f>VLOOKUP($B1010,[3]Complaints!$A$4:$AJ$39,18,)</f>
        <v>0</v>
      </c>
      <c r="G1031" s="48">
        <f>VLOOKUP($B1010,[4]Complaints!$A$4:$AJ$39,18,)</f>
        <v>0</v>
      </c>
      <c r="H1031" s="48">
        <f>VLOOKUP($B1010,[5]Complaints!$A$4:$AJ$39,18,)</f>
        <v>0</v>
      </c>
      <c r="I1031" s="48">
        <f>VLOOKUP($B1010,[6]Complaints!$A$4:$AJ$39,18,)</f>
        <v>0</v>
      </c>
      <c r="J1031" s="48">
        <f>VLOOKUP($B1010,[7]Complaints!$A$4:$AJ$39,18,)</f>
        <v>0</v>
      </c>
      <c r="K1031" s="48">
        <f>VLOOKUP($B1010,[8]Complaints!$A$4:$AJ$39,18,)</f>
        <v>0</v>
      </c>
      <c r="L1031" s="48">
        <f>VLOOKUP($B1010,[9]Complaints!$A$4:$AJ$39,18,)</f>
        <v>0</v>
      </c>
      <c r="M1031" s="48">
        <f>VLOOKUP($B1010,[10]Complaints!$A$4:$AJ$39,18,)</f>
        <v>0</v>
      </c>
      <c r="N1031" s="48">
        <f>VLOOKUP($B1010,[11]Complaints!$A$4:$AJ$39,18,)</f>
        <v>0</v>
      </c>
      <c r="O1031" s="49">
        <f>VLOOKUP($B1010,[12]Complaints!$A$4:$AJ$39,18,)</f>
        <v>0</v>
      </c>
      <c r="P1031" s="55">
        <f t="shared" si="270"/>
        <v>0</v>
      </c>
      <c r="Q1031" s="50" t="str">
        <f>IF(P1031=0,"",P1031/$P1012)</f>
        <v/>
      </c>
      <c r="R1031" s="18"/>
    </row>
    <row r="1032" spans="1:19" ht="15.75" customHeight="1" x14ac:dyDescent="0.2">
      <c r="B1032" s="169"/>
      <c r="C1032" s="31" t="s">
        <v>82</v>
      </c>
      <c r="D1032" s="47">
        <f>VLOOKUP($B1010,[1]Complaints!$A$4:$AJ$39,19,)</f>
        <v>0</v>
      </c>
      <c r="E1032" s="48">
        <f>VLOOKUP($B1010,[2]Complaints!$A$4:$AJ$39,19,)</f>
        <v>0</v>
      </c>
      <c r="F1032" s="48">
        <f>VLOOKUP($B1010,[3]Complaints!$A$4:$AJ$39,19,)</f>
        <v>0</v>
      </c>
      <c r="G1032" s="48">
        <f>VLOOKUP($B1010,[4]Complaints!$A$4:$AJ$39,19,)</f>
        <v>0</v>
      </c>
      <c r="H1032" s="48">
        <f>VLOOKUP($B1010,[5]Complaints!$A$4:$AJ$39,19,)</f>
        <v>0</v>
      </c>
      <c r="I1032" s="48">
        <f>VLOOKUP($B1010,[6]Complaints!$A$4:$AJ$39,19,)</f>
        <v>0</v>
      </c>
      <c r="J1032" s="48">
        <f>VLOOKUP($B1010,[7]Complaints!$A$4:$AJ$39,19,)</f>
        <v>0</v>
      </c>
      <c r="K1032" s="48">
        <f>VLOOKUP($B1010,[8]Complaints!$A$4:$AJ$39,19,)</f>
        <v>0</v>
      </c>
      <c r="L1032" s="48">
        <f>VLOOKUP($B1010,[9]Complaints!$A$4:$AJ$39,19,)</f>
        <v>0</v>
      </c>
      <c r="M1032" s="48">
        <f>VLOOKUP($B1010,[10]Complaints!$A$4:$AJ$39,19,)</f>
        <v>0</v>
      </c>
      <c r="N1032" s="48">
        <f>VLOOKUP($B1010,[11]Complaints!$A$4:$AJ$39,19,)</f>
        <v>0</v>
      </c>
      <c r="O1032" s="49">
        <f>VLOOKUP($B1010,[12]Complaints!$A$4:$AJ$39,19,)</f>
        <v>0</v>
      </c>
      <c r="P1032" s="55">
        <f t="shared" si="270"/>
        <v>0</v>
      </c>
      <c r="Q1032" s="50" t="str">
        <f>IF(P1032=0,"",P1032/$P1012)</f>
        <v/>
      </c>
      <c r="R1032" s="18"/>
    </row>
    <row r="1033" spans="1:19" ht="15.75" customHeight="1" thickBot="1" x14ac:dyDescent="0.25">
      <c r="B1033" s="170"/>
      <c r="C1033" s="31" t="s">
        <v>83</v>
      </c>
      <c r="D1033" s="47">
        <f>VLOOKUP($B1010,[1]Complaints!$A$4:$AJ$39,20,)</f>
        <v>0</v>
      </c>
      <c r="E1033" s="48">
        <f>VLOOKUP($B1010,[2]Complaints!$A$4:$AJ$39,20,)</f>
        <v>0</v>
      </c>
      <c r="F1033" s="48">
        <f>VLOOKUP($B1010,[3]Complaints!$A$4:$AJ$39,20,)</f>
        <v>0</v>
      </c>
      <c r="G1033" s="48">
        <f>VLOOKUP($B1010,[4]Complaints!$A$4:$AJ$39,20,)</f>
        <v>0</v>
      </c>
      <c r="H1033" s="48">
        <f>VLOOKUP($B1010,[5]Complaints!$A$4:$AJ$39,20,)</f>
        <v>0</v>
      </c>
      <c r="I1033" s="48">
        <f>VLOOKUP($B1010,[6]Complaints!$A$4:$AJ$39,20,)</f>
        <v>0</v>
      </c>
      <c r="J1033" s="48">
        <f>VLOOKUP($B1010,[7]Complaints!$A$4:$AJ$39,20,)</f>
        <v>0</v>
      </c>
      <c r="K1033" s="48">
        <f>VLOOKUP($B1010,[8]Complaints!$A$4:$AJ$39,20,)</f>
        <v>0</v>
      </c>
      <c r="L1033" s="48">
        <f>VLOOKUP($B1010,[9]Complaints!$A$4:$AJ$39,20,)</f>
        <v>0</v>
      </c>
      <c r="M1033" s="48">
        <f>VLOOKUP($B1010,[10]Complaints!$A$4:$AJ$39,20,)</f>
        <v>0</v>
      </c>
      <c r="N1033" s="48">
        <f>VLOOKUP($B1010,[11]Complaints!$A$4:$AJ$39,20,)</f>
        <v>0</v>
      </c>
      <c r="O1033" s="49">
        <f>VLOOKUP($B1010,[12]Complaints!$A$4:$AJ$39,20,)</f>
        <v>0</v>
      </c>
      <c r="P1033" s="55">
        <f t="shared" si="270"/>
        <v>0</v>
      </c>
      <c r="Q1033" s="50" t="str">
        <f>IF(P1033=0,"",P1033/$P1012)</f>
        <v/>
      </c>
      <c r="R1033" s="18"/>
    </row>
    <row r="1034" spans="1:19" ht="15.75" customHeight="1" x14ac:dyDescent="0.2">
      <c r="B1034" s="144" t="s">
        <v>90</v>
      </c>
      <c r="C1034" s="37" t="s">
        <v>118</v>
      </c>
      <c r="D1034" s="62">
        <f>VLOOKUP($B1010,[1]Complaints!$A$4:$AJ$39,21,)</f>
        <v>0</v>
      </c>
      <c r="E1034" s="63">
        <f>VLOOKUP($B1010,[2]Complaints!$A$4:$AJ$39,21,)</f>
        <v>0</v>
      </c>
      <c r="F1034" s="63">
        <f>VLOOKUP($B1010,[3]Complaints!$A$4:$AJ$39,21,)</f>
        <v>0</v>
      </c>
      <c r="G1034" s="63">
        <f>VLOOKUP($B1010,[4]Complaints!$A$4:$AJ$39,21,)</f>
        <v>1</v>
      </c>
      <c r="H1034" s="63">
        <f>VLOOKUP($B1010,[5]Complaints!$A$4:$AJ$39,21,)</f>
        <v>1</v>
      </c>
      <c r="I1034" s="63">
        <f>VLOOKUP($B1010,[6]Complaints!$A$4:$AJ$39,21,)</f>
        <v>1</v>
      </c>
      <c r="J1034" s="63">
        <f>VLOOKUP($B1010,[7]Complaints!$A$4:$AJ$39,21,)</f>
        <v>0</v>
      </c>
      <c r="K1034" s="63">
        <f>VLOOKUP($B1010,[8]Complaints!$A$4:$AJ$39,21,)</f>
        <v>0</v>
      </c>
      <c r="L1034" s="63">
        <f>VLOOKUP($B1010,[9]Complaints!$A$4:$AJ$39,21,)</f>
        <v>0</v>
      </c>
      <c r="M1034" s="63">
        <f>VLOOKUP($B1010,[10]Complaints!$A$4:$AJ$39,21,)</f>
        <v>2</v>
      </c>
      <c r="N1034" s="63">
        <f>VLOOKUP($B1010,[11]Complaints!$A$4:$AJ$39,21,)</f>
        <v>0</v>
      </c>
      <c r="O1034" s="64">
        <f>VLOOKUP($B1010,[12]Complaints!$A$4:$AJ$39,21,)</f>
        <v>0</v>
      </c>
      <c r="P1034" s="65">
        <f>SUM(D1034:O1034)</f>
        <v>5</v>
      </c>
      <c r="Q1034" s="46">
        <f>IF(P1034=0,"",P1034/$P1018)</f>
        <v>1</v>
      </c>
      <c r="R1034" s="18"/>
    </row>
    <row r="1035" spans="1:19" ht="15.75" customHeight="1" x14ac:dyDescent="0.2">
      <c r="B1035" s="145"/>
      <c r="C1035" s="38" t="s">
        <v>77</v>
      </c>
      <c r="D1035" s="66">
        <f>VLOOKUP($B1010,[1]Complaints!$A$4:$AJ$39,22,)</f>
        <v>0</v>
      </c>
      <c r="E1035" s="67">
        <f>VLOOKUP($B1010,[2]Complaints!$A$4:$AJ$39,22,)</f>
        <v>0</v>
      </c>
      <c r="F1035" s="67">
        <f>VLOOKUP($B1010,[3]Complaints!$A$4:$AJ$39,22,)</f>
        <v>0</v>
      </c>
      <c r="G1035" s="67">
        <f>VLOOKUP($B1010,[4]Complaints!$A$4:$AJ$39,22,)</f>
        <v>0</v>
      </c>
      <c r="H1035" s="67">
        <f>VLOOKUP($B1010,[5]Complaints!$A$4:$AJ$39,22,)</f>
        <v>1</v>
      </c>
      <c r="I1035" s="67">
        <f>VLOOKUP($B1010,[6]Complaints!$A$4:$AJ$39,22,)</f>
        <v>0</v>
      </c>
      <c r="J1035" s="67">
        <f>VLOOKUP($B1010,[7]Complaints!$A$4:$AJ$39,22,)</f>
        <v>0</v>
      </c>
      <c r="K1035" s="67">
        <f>VLOOKUP($B1010,[8]Complaints!$A$4:$AJ$39,22,)</f>
        <v>0</v>
      </c>
      <c r="L1035" s="67">
        <f>VLOOKUP($B1010,[9]Complaints!$A$4:$AJ$39,22,)</f>
        <v>0</v>
      </c>
      <c r="M1035" s="67">
        <f>VLOOKUP($B1010,[10]Complaints!$A$4:$AJ$39,22,)</f>
        <v>0</v>
      </c>
      <c r="N1035" s="67">
        <f>VLOOKUP($B1010,[11]Complaints!$A$4:$AJ$39,22,)</f>
        <v>0</v>
      </c>
      <c r="O1035" s="68">
        <f>VLOOKUP($B1010,[12]Complaints!$A$4:$AJ$39,22,)</f>
        <v>0</v>
      </c>
      <c r="P1035" s="69">
        <f t="shared" ref="P1035:P1049" si="271">SUM(D1035:O1035)</f>
        <v>1</v>
      </c>
      <c r="Q1035" s="70">
        <f>IF(P1035=0,"",P1035/$P1018)</f>
        <v>0.2</v>
      </c>
      <c r="R1035" s="18"/>
    </row>
    <row r="1036" spans="1:19" ht="15.75" customHeight="1" x14ac:dyDescent="0.2">
      <c r="B1036" s="145"/>
      <c r="C1036" s="38" t="s">
        <v>108</v>
      </c>
      <c r="D1036" s="66">
        <f>VLOOKUP($B1010,[1]Complaints!$A$4:$AJ$39,23,)</f>
        <v>0</v>
      </c>
      <c r="E1036" s="67">
        <f>VLOOKUP($B1010,[2]Complaints!$A$4:$AJ$39,23,)</f>
        <v>0</v>
      </c>
      <c r="F1036" s="67">
        <f>VLOOKUP($B1010,[3]Complaints!$A$4:$AJ$39,23,)</f>
        <v>0</v>
      </c>
      <c r="G1036" s="67">
        <f>VLOOKUP($B1010,[4]Complaints!$A$4:$AJ$39,23,)</f>
        <v>0</v>
      </c>
      <c r="H1036" s="67">
        <f>VLOOKUP($B1010,[5]Complaints!$A$4:$AJ$39,23,)</f>
        <v>0</v>
      </c>
      <c r="I1036" s="67">
        <f>VLOOKUP($B1010,[6]Complaints!$A$4:$AJ$39,23,)</f>
        <v>1</v>
      </c>
      <c r="J1036" s="67">
        <f>VLOOKUP($B1010,[7]Complaints!$A$4:$AJ$39,23,)</f>
        <v>0</v>
      </c>
      <c r="K1036" s="67">
        <f>VLOOKUP($B1010,[8]Complaints!$A$4:$AJ$39,23,)</f>
        <v>0</v>
      </c>
      <c r="L1036" s="67">
        <f>VLOOKUP($B1010,[9]Complaints!$A$4:$AJ$39,23,)</f>
        <v>0</v>
      </c>
      <c r="M1036" s="67">
        <f>VLOOKUP($B1010,[10]Complaints!$A$4:$AJ$39,23,)</f>
        <v>0</v>
      </c>
      <c r="N1036" s="67">
        <f>VLOOKUP($B1010,[11]Complaints!$A$4:$AJ$39,23,)</f>
        <v>0</v>
      </c>
      <c r="O1036" s="68">
        <f>VLOOKUP($B1010,[12]Complaints!$A$4:$AJ$39,23,)</f>
        <v>0</v>
      </c>
      <c r="P1036" s="69">
        <f t="shared" si="271"/>
        <v>1</v>
      </c>
      <c r="Q1036" s="70">
        <f>IF(P1036=0,"",P1036/$P1018)</f>
        <v>0.2</v>
      </c>
      <c r="R1036" s="18"/>
    </row>
    <row r="1037" spans="1:19" ht="15.75" customHeight="1" x14ac:dyDescent="0.2">
      <c r="B1037" s="145"/>
      <c r="C1037" s="38" t="s">
        <v>88</v>
      </c>
      <c r="D1037" s="66">
        <f>VLOOKUP($B1010,[1]Complaints!$A$4:$AJ$39,24,)</f>
        <v>0</v>
      </c>
      <c r="E1037" s="67">
        <f>VLOOKUP($B1010,[2]Complaints!$A$4:$AJ$39,24,)</f>
        <v>0</v>
      </c>
      <c r="F1037" s="67">
        <f>VLOOKUP($B1010,[3]Complaints!$A$4:$AJ$39,24,)</f>
        <v>0</v>
      </c>
      <c r="G1037" s="67">
        <f>VLOOKUP($B1010,[4]Complaints!$A$4:$AJ$39,24,)</f>
        <v>0</v>
      </c>
      <c r="H1037" s="67">
        <f>VLOOKUP($B1010,[5]Complaints!$A$4:$AJ$39,24,)</f>
        <v>0</v>
      </c>
      <c r="I1037" s="67">
        <f>VLOOKUP($B1010,[6]Complaints!$A$4:$AJ$39,24,)</f>
        <v>0</v>
      </c>
      <c r="J1037" s="67">
        <f>VLOOKUP($B1010,[7]Complaints!$A$4:$AJ$39,24,)</f>
        <v>0</v>
      </c>
      <c r="K1037" s="67">
        <f>VLOOKUP($B1010,[8]Complaints!$A$4:$AJ$39,24,)</f>
        <v>0</v>
      </c>
      <c r="L1037" s="67">
        <f>VLOOKUP($B1010,[9]Complaints!$A$4:$AJ$39,24,)</f>
        <v>0</v>
      </c>
      <c r="M1037" s="67">
        <f>VLOOKUP($B1010,[10]Complaints!$A$4:$AJ$39,24,)</f>
        <v>0</v>
      </c>
      <c r="N1037" s="67">
        <f>VLOOKUP($B1010,[11]Complaints!$A$4:$AJ$39,24,)</f>
        <v>0</v>
      </c>
      <c r="O1037" s="68">
        <f>VLOOKUP($B1010,[12]Complaints!$A$4:$AJ$39,24,)</f>
        <v>0</v>
      </c>
      <c r="P1037" s="69">
        <f t="shared" si="271"/>
        <v>0</v>
      </c>
      <c r="Q1037" s="70" t="str">
        <f>IF(P1037=0,"",P1037/$P1018)</f>
        <v/>
      </c>
      <c r="R1037" s="18"/>
    </row>
    <row r="1038" spans="1:19" ht="15.75" customHeight="1" x14ac:dyDescent="0.2">
      <c r="B1038" s="145"/>
      <c r="C1038" s="38" t="s">
        <v>109</v>
      </c>
      <c r="D1038" s="66">
        <f>VLOOKUP($B1010,[1]Complaints!$A$4:$AJ$39,25,)</f>
        <v>0</v>
      </c>
      <c r="E1038" s="67">
        <f>VLOOKUP($B1010,[2]Complaints!$A$4:$AJ$39,25,)</f>
        <v>0</v>
      </c>
      <c r="F1038" s="67">
        <f>VLOOKUP($B1010,[3]Complaints!$A$4:$AJ$39,25,)</f>
        <v>0</v>
      </c>
      <c r="G1038" s="67">
        <f>VLOOKUP($B1010,[4]Complaints!$A$4:$AJ$39,25,)</f>
        <v>0</v>
      </c>
      <c r="H1038" s="67">
        <f>VLOOKUP($B1010,[5]Complaints!$A$4:$AJ$39,25,)</f>
        <v>0</v>
      </c>
      <c r="I1038" s="67">
        <f>VLOOKUP($B1010,[6]Complaints!$A$4:$AJ$39,25,)</f>
        <v>0</v>
      </c>
      <c r="J1038" s="67">
        <f>VLOOKUP($B1010,[7]Complaints!$A$4:$AJ$39,25,)</f>
        <v>0</v>
      </c>
      <c r="K1038" s="67">
        <f>VLOOKUP($B1010,[8]Complaints!$A$4:$AJ$39,25,)</f>
        <v>0</v>
      </c>
      <c r="L1038" s="67">
        <f>VLOOKUP($B1010,[9]Complaints!$A$4:$AJ$39,25,)</f>
        <v>0</v>
      </c>
      <c r="M1038" s="67">
        <f>VLOOKUP($B1010,[10]Complaints!$A$4:$AJ$39,25,)</f>
        <v>1</v>
      </c>
      <c r="N1038" s="67">
        <f>VLOOKUP($B1010,[11]Complaints!$A$4:$AJ$39,25,)</f>
        <v>0</v>
      </c>
      <c r="O1038" s="68">
        <f>VLOOKUP($B1010,[12]Complaints!$A$4:$AJ$39,25,)</f>
        <v>0</v>
      </c>
      <c r="P1038" s="69">
        <f t="shared" si="271"/>
        <v>1</v>
      </c>
      <c r="Q1038" s="70">
        <f>IF(P1038=0,"",P1038/$P1018)</f>
        <v>0.2</v>
      </c>
      <c r="R1038" s="18"/>
    </row>
    <row r="1039" spans="1:19" ht="15.75" customHeight="1" x14ac:dyDescent="0.2">
      <c r="A1039" s="21"/>
      <c r="B1039" s="145"/>
      <c r="C1039" s="38" t="s">
        <v>110</v>
      </c>
      <c r="D1039" s="66">
        <f>VLOOKUP($B1010,[1]Complaints!$A$4:$AJ$39,26,)</f>
        <v>0</v>
      </c>
      <c r="E1039" s="67">
        <f>VLOOKUP($B1010,[2]Complaints!$A$4:$AJ$39,26,)</f>
        <v>0</v>
      </c>
      <c r="F1039" s="67">
        <f>VLOOKUP($B1010,[3]Complaints!$A$4:$AJ$39,26,)</f>
        <v>0</v>
      </c>
      <c r="G1039" s="67">
        <f>VLOOKUP($B1010,[4]Complaints!$A$4:$AJ$39,26,)</f>
        <v>0</v>
      </c>
      <c r="H1039" s="67">
        <f>VLOOKUP($B1010,[5]Complaints!$A$4:$AJ$39,26,)</f>
        <v>0</v>
      </c>
      <c r="I1039" s="67">
        <f>VLOOKUP($B1010,[6]Complaints!$A$4:$AJ$39,26,)</f>
        <v>0</v>
      </c>
      <c r="J1039" s="67">
        <f>VLOOKUP($B1010,[7]Complaints!$A$4:$AJ$39,26,)</f>
        <v>0</v>
      </c>
      <c r="K1039" s="67">
        <f>VLOOKUP($B1010,[8]Complaints!$A$4:$AJ$39,26,)</f>
        <v>0</v>
      </c>
      <c r="L1039" s="67">
        <f>VLOOKUP($B1010,[9]Complaints!$A$4:$AJ$39,26,)</f>
        <v>0</v>
      </c>
      <c r="M1039" s="67">
        <f>VLOOKUP($B1010,[10]Complaints!$A$4:$AJ$39,26,)</f>
        <v>0</v>
      </c>
      <c r="N1039" s="67">
        <f>VLOOKUP($B1010,[11]Complaints!$A$4:$AJ$39,26,)</f>
        <v>0</v>
      </c>
      <c r="O1039" s="68">
        <f>VLOOKUP($B1010,[12]Complaints!$A$4:$AJ$39,26,)</f>
        <v>0</v>
      </c>
      <c r="P1039" s="69">
        <f t="shared" si="271"/>
        <v>0</v>
      </c>
      <c r="Q1039" s="70" t="str">
        <f>IF(P1039=0,"",P1039/$P1018)</f>
        <v/>
      </c>
      <c r="R1039" s="18"/>
    </row>
    <row r="1040" spans="1:19" s="21" customFormat="1" ht="15.75" customHeight="1" x14ac:dyDescent="0.2">
      <c r="B1040" s="145"/>
      <c r="C1040" s="39" t="s">
        <v>107</v>
      </c>
      <c r="D1040" s="71">
        <f>VLOOKUP($B1010,[1]Complaints!$A$4:$AJ$39,27,)</f>
        <v>0</v>
      </c>
      <c r="E1040" s="72">
        <f>VLOOKUP($B1010,[2]Complaints!$A$4:$AJ$39,27,)</f>
        <v>0</v>
      </c>
      <c r="F1040" s="72">
        <f>VLOOKUP($B1010,[3]Complaints!$A$4:$AJ$39,27,)</f>
        <v>0</v>
      </c>
      <c r="G1040" s="72">
        <f>VLOOKUP($B1010,[4]Complaints!$A$4:$AJ$39,27,)</f>
        <v>0</v>
      </c>
      <c r="H1040" s="72">
        <f>VLOOKUP($B1010,[5]Complaints!$A$4:$AJ$39,27,)</f>
        <v>0</v>
      </c>
      <c r="I1040" s="72">
        <f>VLOOKUP($B1010,[6]Complaints!$A$4:$AJ$39,27,)</f>
        <v>0</v>
      </c>
      <c r="J1040" s="72">
        <f>VLOOKUP($B1010,[7]Complaints!$A$4:$AJ$39,27,)</f>
        <v>0</v>
      </c>
      <c r="K1040" s="72">
        <f>VLOOKUP($B1010,[8]Complaints!$A$4:$AJ$39,27,)</f>
        <v>0</v>
      </c>
      <c r="L1040" s="72">
        <f>VLOOKUP($B1010,[9]Complaints!$A$4:$AJ$39,27,)</f>
        <v>0</v>
      </c>
      <c r="M1040" s="72">
        <f>VLOOKUP($B1010,[10]Complaints!$A$4:$AJ$39,27,)</f>
        <v>0</v>
      </c>
      <c r="N1040" s="72">
        <f>VLOOKUP($B1010,[11]Complaints!$A$4:$AJ$39,27,)</f>
        <v>0</v>
      </c>
      <c r="O1040" s="73">
        <f>VLOOKUP($B1010,[12]Complaints!$A$4:$AJ$39,27,)</f>
        <v>0</v>
      </c>
      <c r="P1040" s="69">
        <f t="shared" si="271"/>
        <v>0</v>
      </c>
      <c r="Q1040" s="70" t="str">
        <f>IF(P1040=0,"",P1040/$P1018)</f>
        <v/>
      </c>
      <c r="S1040" s="18"/>
    </row>
    <row r="1041" spans="2:18" ht="15.75" customHeight="1" x14ac:dyDescent="0.2">
      <c r="B1041" s="145"/>
      <c r="C1041" s="39" t="s">
        <v>87</v>
      </c>
      <c r="D1041" s="71">
        <f>VLOOKUP($B1010,[1]Complaints!$A$4:$AJ$39,28,)</f>
        <v>0</v>
      </c>
      <c r="E1041" s="72">
        <f>VLOOKUP($B1010,[2]Complaints!$A$4:$AJ$39,28,)</f>
        <v>0</v>
      </c>
      <c r="F1041" s="72">
        <f>VLOOKUP($B1010,[3]Complaints!$A$4:$AJ$39,28,)</f>
        <v>0</v>
      </c>
      <c r="G1041" s="72">
        <f>VLOOKUP($B1010,[4]Complaints!$A$4:$AJ$39,28,)</f>
        <v>1</v>
      </c>
      <c r="H1041" s="72">
        <f>VLOOKUP($B1010,[5]Complaints!$A$4:$AJ$39,28,)</f>
        <v>0</v>
      </c>
      <c r="I1041" s="72">
        <f>VLOOKUP($B1010,[6]Complaints!$A$4:$AJ$39,28,)</f>
        <v>0</v>
      </c>
      <c r="J1041" s="72">
        <f>VLOOKUP($B1010,[7]Complaints!$A$4:$AJ$39,28,)</f>
        <v>0</v>
      </c>
      <c r="K1041" s="72">
        <f>VLOOKUP($B1010,[8]Complaints!$A$4:$AJ$39,28,)</f>
        <v>0</v>
      </c>
      <c r="L1041" s="72">
        <f>VLOOKUP($B1010,[9]Complaints!$A$4:$AJ$39,28,)</f>
        <v>0</v>
      </c>
      <c r="M1041" s="72">
        <f>VLOOKUP($B1010,[10]Complaints!$A$4:$AJ$39,28,)</f>
        <v>1</v>
      </c>
      <c r="N1041" s="72">
        <f>VLOOKUP($B1010,[11]Complaints!$A$4:$AJ$39,28,)</f>
        <v>0</v>
      </c>
      <c r="O1041" s="73">
        <f>VLOOKUP($B1010,[12]Complaints!$A$4:$AJ$39,28,)</f>
        <v>0</v>
      </c>
      <c r="P1041" s="69">
        <f t="shared" si="271"/>
        <v>2</v>
      </c>
      <c r="Q1041" s="70">
        <f>IF(P1041=0,"",P1041/$P1018)</f>
        <v>0.4</v>
      </c>
      <c r="R1041" s="18"/>
    </row>
    <row r="1042" spans="2:18" ht="15.75" customHeight="1" x14ac:dyDescent="0.2">
      <c r="B1042" s="145"/>
      <c r="C1042" s="38" t="s">
        <v>111</v>
      </c>
      <c r="D1042" s="66">
        <f>VLOOKUP($B1010,[1]Complaints!$A$4:$AJ$39,29,)</f>
        <v>0</v>
      </c>
      <c r="E1042" s="67">
        <f>VLOOKUP($B1010,[2]Complaints!$A$4:$AJ$39,29,)</f>
        <v>0</v>
      </c>
      <c r="F1042" s="67">
        <f>VLOOKUP($B1010,[3]Complaints!$A$4:$AJ$39,29,)</f>
        <v>0</v>
      </c>
      <c r="G1042" s="67">
        <f>VLOOKUP($B1010,[4]Complaints!$A$4:$AJ$39,29,)</f>
        <v>0</v>
      </c>
      <c r="H1042" s="67">
        <f>VLOOKUP($B1010,[5]Complaints!$A$4:$AJ$39,29,)</f>
        <v>0</v>
      </c>
      <c r="I1042" s="67">
        <f>VLOOKUP($B1010,[6]Complaints!$A$4:$AJ$39,29,)</f>
        <v>0</v>
      </c>
      <c r="J1042" s="67">
        <f>VLOOKUP($B1010,[7]Complaints!$A$4:$AJ$39,29,)</f>
        <v>0</v>
      </c>
      <c r="K1042" s="67">
        <f>VLOOKUP($B1010,[8]Complaints!$A$4:$AJ$39,29,)</f>
        <v>0</v>
      </c>
      <c r="L1042" s="67">
        <f>VLOOKUP($B1010,[9]Complaints!$A$4:$AJ$39,29,)</f>
        <v>0</v>
      </c>
      <c r="M1042" s="67">
        <f>VLOOKUP($B1010,[10]Complaints!$A$4:$AJ$39,29,)</f>
        <v>0</v>
      </c>
      <c r="N1042" s="67">
        <f>VLOOKUP($B1010,[11]Complaints!$A$4:$AJ$39,29,)</f>
        <v>0</v>
      </c>
      <c r="O1042" s="68">
        <f>VLOOKUP($B1010,[12]Complaints!$A$4:$AJ$39,29,)</f>
        <v>0</v>
      </c>
      <c r="P1042" s="69">
        <f t="shared" si="271"/>
        <v>0</v>
      </c>
      <c r="Q1042" s="70" t="str">
        <f>IF(P1042=0,"",P1042/$P1018)</f>
        <v/>
      </c>
      <c r="R1042" s="18"/>
    </row>
    <row r="1043" spans="2:18" ht="15.75" customHeight="1" x14ac:dyDescent="0.2">
      <c r="B1043" s="145"/>
      <c r="C1043" s="38" t="s">
        <v>112</v>
      </c>
      <c r="D1043" s="66">
        <f>VLOOKUP($B1010,[1]Complaints!$A$4:$AJ$39,30,)</f>
        <v>0</v>
      </c>
      <c r="E1043" s="67">
        <f>VLOOKUP($B1010,[2]Complaints!$A$4:$AJ$39,30,)</f>
        <v>0</v>
      </c>
      <c r="F1043" s="67">
        <f>VLOOKUP($B1010,[3]Complaints!$A$4:$AJ$39,30,)</f>
        <v>0</v>
      </c>
      <c r="G1043" s="67">
        <f>VLOOKUP($B1010,[4]Complaints!$A$4:$AJ$39,30,)</f>
        <v>0</v>
      </c>
      <c r="H1043" s="67">
        <f>VLOOKUP($B1010,[5]Complaints!$A$4:$AJ$39,30,)</f>
        <v>0</v>
      </c>
      <c r="I1043" s="67">
        <f>VLOOKUP($B1010,[6]Complaints!$A$4:$AJ$39,30,)</f>
        <v>0</v>
      </c>
      <c r="J1043" s="67">
        <f>VLOOKUP($B1010,[7]Complaints!$A$4:$AJ$39,30,)</f>
        <v>0</v>
      </c>
      <c r="K1043" s="67">
        <f>VLOOKUP($B1010,[8]Complaints!$A$4:$AJ$39,30,)</f>
        <v>0</v>
      </c>
      <c r="L1043" s="67">
        <f>VLOOKUP($B1010,[9]Complaints!$A$4:$AJ$39,30,)</f>
        <v>0</v>
      </c>
      <c r="M1043" s="67">
        <f>VLOOKUP($B1010,[10]Complaints!$A$4:$AJ$39,30,)</f>
        <v>0</v>
      </c>
      <c r="N1043" s="67">
        <f>VLOOKUP($B1010,[11]Complaints!$A$4:$AJ$39,30,)</f>
        <v>0</v>
      </c>
      <c r="O1043" s="68">
        <f>VLOOKUP($B1010,[12]Complaints!$A$4:$AJ$39,30,)</f>
        <v>0</v>
      </c>
      <c r="P1043" s="69">
        <f t="shared" si="271"/>
        <v>0</v>
      </c>
      <c r="Q1043" s="70" t="str">
        <f>IF(P1043=0,"",P1043/$P1018)</f>
        <v/>
      </c>
      <c r="R1043" s="18"/>
    </row>
    <row r="1044" spans="2:18" ht="15.75" customHeight="1" x14ac:dyDescent="0.2">
      <c r="B1044" s="146"/>
      <c r="C1044" s="40" t="s">
        <v>119</v>
      </c>
      <c r="D1044" s="74">
        <f>VLOOKUP($B1010,[1]Complaints!$A$4:$AJ$39,31,)</f>
        <v>0</v>
      </c>
      <c r="E1044" s="75">
        <f>VLOOKUP($B1010,[2]Complaints!$A$4:$AJ$39,31,)</f>
        <v>0</v>
      </c>
      <c r="F1044" s="75">
        <f>VLOOKUP($B1010,[3]Complaints!$A$4:$AJ$39,31,)</f>
        <v>0</v>
      </c>
      <c r="G1044" s="75">
        <f>VLOOKUP($B1010,[4]Complaints!$A$4:$AJ$39,31,)</f>
        <v>0</v>
      </c>
      <c r="H1044" s="75">
        <f>VLOOKUP($B1010,[5]Complaints!$A$4:$AJ$39,31,)</f>
        <v>0</v>
      </c>
      <c r="I1044" s="75">
        <f>VLOOKUP($B1010,[6]Complaints!$A$4:$AJ$39,31,)</f>
        <v>0</v>
      </c>
      <c r="J1044" s="75">
        <f>VLOOKUP($B1010,[7]Complaints!$A$4:$AJ$39,31,)</f>
        <v>1</v>
      </c>
      <c r="K1044" s="75">
        <f>VLOOKUP($B1010,[8]Complaints!$A$4:$AJ$39,31,)</f>
        <v>1</v>
      </c>
      <c r="L1044" s="75">
        <f>VLOOKUP($B1010,[9]Complaints!$A$4:$AJ$39,31,)</f>
        <v>0</v>
      </c>
      <c r="M1044" s="75">
        <f>VLOOKUP($B1010,[10]Complaints!$A$4:$AJ$39,31,)</f>
        <v>0</v>
      </c>
      <c r="N1044" s="75">
        <f>VLOOKUP($B1010,[11]Complaints!$A$4:$AJ$39,31,)</f>
        <v>0</v>
      </c>
      <c r="O1044" s="76">
        <f>VLOOKUP($B1010,[12]Complaints!$A$4:$AJ$39,31,)</f>
        <v>0</v>
      </c>
      <c r="P1044" s="77">
        <f t="shared" si="271"/>
        <v>2</v>
      </c>
      <c r="Q1044" s="50">
        <f>IF(P1044=0,"",P1044/$P1018)</f>
        <v>0.4</v>
      </c>
      <c r="R1044" s="18"/>
    </row>
    <row r="1045" spans="2:18" ht="15.75" customHeight="1" x14ac:dyDescent="0.2">
      <c r="B1045" s="146"/>
      <c r="C1045" s="38" t="s">
        <v>113</v>
      </c>
      <c r="D1045" s="66">
        <f>VLOOKUP($B1010,[1]Complaints!$A$4:$AJ$39,32,)</f>
        <v>0</v>
      </c>
      <c r="E1045" s="67">
        <f>VLOOKUP($B1010,[2]Complaints!$A$4:$AJ$39,32,)</f>
        <v>0</v>
      </c>
      <c r="F1045" s="67">
        <f>VLOOKUP($B1010,[3]Complaints!$A$4:$AJ$39,32,)</f>
        <v>0</v>
      </c>
      <c r="G1045" s="67">
        <f>VLOOKUP($B1010,[4]Complaints!$A$4:$AJ$39,32,)</f>
        <v>0</v>
      </c>
      <c r="H1045" s="67">
        <f>VLOOKUP($B1010,[5]Complaints!$A$4:$AJ$39,32,)</f>
        <v>0</v>
      </c>
      <c r="I1045" s="67">
        <f>VLOOKUP($B1010,[6]Complaints!$A$4:$AJ$39,32,)</f>
        <v>0</v>
      </c>
      <c r="J1045" s="67">
        <f>VLOOKUP($B1010,[7]Complaints!$A$4:$AJ$39,32,)</f>
        <v>1</v>
      </c>
      <c r="K1045" s="67">
        <f>VLOOKUP($B1010,[8]Complaints!$A$4:$AJ$39,32,)</f>
        <v>1</v>
      </c>
      <c r="L1045" s="67">
        <f>VLOOKUP($B1010,[9]Complaints!$A$4:$AJ$39,32,)</f>
        <v>0</v>
      </c>
      <c r="M1045" s="67">
        <f>VLOOKUP($B1010,[10]Complaints!$A$4:$AJ$39,32,)</f>
        <v>0</v>
      </c>
      <c r="N1045" s="67">
        <f>VLOOKUP($B1010,[11]Complaints!$A$4:$AJ$39,32,)</f>
        <v>0</v>
      </c>
      <c r="O1045" s="68">
        <f>VLOOKUP($B1010,[12]Complaints!$A$4:$AJ$39,32,)</f>
        <v>0</v>
      </c>
      <c r="P1045" s="69">
        <f t="shared" si="271"/>
        <v>2</v>
      </c>
      <c r="Q1045" s="70">
        <f>IF(P1045=0,"",P1045/$P1018)</f>
        <v>0.4</v>
      </c>
      <c r="R1045" s="18"/>
    </row>
    <row r="1046" spans="2:18" ht="15.75" customHeight="1" x14ac:dyDescent="0.2">
      <c r="B1046" s="146"/>
      <c r="C1046" s="38" t="s">
        <v>114</v>
      </c>
      <c r="D1046" s="66">
        <f>VLOOKUP($B1010,[1]Complaints!$A$4:$AJ$39,33,)</f>
        <v>0</v>
      </c>
      <c r="E1046" s="67">
        <f>VLOOKUP($B1010,[2]Complaints!$A$4:$AJ$39,33,)</f>
        <v>0</v>
      </c>
      <c r="F1046" s="67">
        <f>VLOOKUP($B1010,[3]Complaints!$A$4:$AJ$39,33,)</f>
        <v>0</v>
      </c>
      <c r="G1046" s="67">
        <f>VLOOKUP($B1010,[4]Complaints!$A$4:$AJ$39,33,)</f>
        <v>0</v>
      </c>
      <c r="H1046" s="67">
        <f>VLOOKUP($B1010,[5]Complaints!$A$4:$AJ$39,33,)</f>
        <v>0</v>
      </c>
      <c r="I1046" s="67">
        <f>VLOOKUP($B1010,[6]Complaints!$A$4:$AJ$39,33,)</f>
        <v>0</v>
      </c>
      <c r="J1046" s="67">
        <f>VLOOKUP($B1010,[7]Complaints!$A$4:$AJ$39,33,)</f>
        <v>0</v>
      </c>
      <c r="K1046" s="67">
        <f>VLOOKUP($B1010,[8]Complaints!$A$4:$AJ$39,33,)</f>
        <v>0</v>
      </c>
      <c r="L1046" s="67">
        <f>VLOOKUP($B1010,[9]Complaints!$A$4:$AJ$39,33,)</f>
        <v>0</v>
      </c>
      <c r="M1046" s="67">
        <f>VLOOKUP($B1010,[10]Complaints!$A$4:$AJ$39,33,)</f>
        <v>0</v>
      </c>
      <c r="N1046" s="67">
        <f>VLOOKUP($B1010,[11]Complaints!$A$4:$AJ$39,33,)</f>
        <v>0</v>
      </c>
      <c r="O1046" s="68">
        <f>VLOOKUP($B1010,[12]Complaints!$A$4:$AJ$39,33,)</f>
        <v>0</v>
      </c>
      <c r="P1046" s="69">
        <f t="shared" si="271"/>
        <v>0</v>
      </c>
      <c r="Q1046" s="70" t="str">
        <f>IF(P1046=0,"",P1046/$P1018)</f>
        <v/>
      </c>
      <c r="R1046" s="18"/>
    </row>
    <row r="1047" spans="2:18" ht="15.75" customHeight="1" x14ac:dyDescent="0.2">
      <c r="B1047" s="146"/>
      <c r="C1047" s="38" t="s">
        <v>115</v>
      </c>
      <c r="D1047" s="66">
        <f>VLOOKUP($B1010,[1]Complaints!$A$4:$AJ$39,34,)</f>
        <v>0</v>
      </c>
      <c r="E1047" s="67">
        <f>VLOOKUP($B1010,[2]Complaints!$A$4:$AJ$39,34,)</f>
        <v>0</v>
      </c>
      <c r="F1047" s="67">
        <f>VLOOKUP($B1010,[3]Complaints!$A$4:$AJ$39,34,)</f>
        <v>0</v>
      </c>
      <c r="G1047" s="67">
        <f>VLOOKUP($B1010,[4]Complaints!$A$4:$AJ$39,34,)</f>
        <v>0</v>
      </c>
      <c r="H1047" s="67">
        <f>VLOOKUP($B1010,[5]Complaints!$A$4:$AJ$39,34,)</f>
        <v>0</v>
      </c>
      <c r="I1047" s="67">
        <f>VLOOKUP($B1010,[6]Complaints!$A$4:$AJ$39,34,)</f>
        <v>0</v>
      </c>
      <c r="J1047" s="67">
        <f>VLOOKUP($B1010,[7]Complaints!$A$4:$AJ$39,34,)</f>
        <v>0</v>
      </c>
      <c r="K1047" s="67">
        <f>VLOOKUP($B1010,[8]Complaints!$A$4:$AJ$39,34,)</f>
        <v>0</v>
      </c>
      <c r="L1047" s="67">
        <f>VLOOKUP($B1010,[9]Complaints!$A$4:$AJ$39,34,)</f>
        <v>0</v>
      </c>
      <c r="M1047" s="67">
        <f>VLOOKUP($B1010,[10]Complaints!$A$4:$AJ$39,34,)</f>
        <v>0</v>
      </c>
      <c r="N1047" s="67">
        <f>VLOOKUP($B1010,[11]Complaints!$A$4:$AJ$39,34,)</f>
        <v>0</v>
      </c>
      <c r="O1047" s="68">
        <f>VLOOKUP($B1010,[12]Complaints!$A$4:$AJ$39,34,)</f>
        <v>0</v>
      </c>
      <c r="P1047" s="69">
        <f t="shared" si="271"/>
        <v>0</v>
      </c>
      <c r="Q1047" s="70" t="str">
        <f>IF(P1047=0,"",P1047/$P1018)</f>
        <v/>
      </c>
      <c r="R1047" s="18"/>
    </row>
    <row r="1048" spans="2:18" ht="15.75" customHeight="1" x14ac:dyDescent="0.2">
      <c r="B1048" s="146"/>
      <c r="C1048" s="38" t="s">
        <v>116</v>
      </c>
      <c r="D1048" s="66">
        <f>VLOOKUP($B1010,[1]Complaints!$A$4:$AJ$39,35,)</f>
        <v>0</v>
      </c>
      <c r="E1048" s="67">
        <f>VLOOKUP($B1010,[2]Complaints!$A$4:$AJ$39,35,)</f>
        <v>0</v>
      </c>
      <c r="F1048" s="67">
        <f>VLOOKUP($B1010,[3]Complaints!$A$4:$AJ$39,35,)</f>
        <v>0</v>
      </c>
      <c r="G1048" s="67">
        <f>VLOOKUP($B1010,[4]Complaints!$A$4:$AJ$39,35,)</f>
        <v>0</v>
      </c>
      <c r="H1048" s="67">
        <f>VLOOKUP($B1010,[5]Complaints!$A$4:$AJ$39,35,)</f>
        <v>0</v>
      </c>
      <c r="I1048" s="67">
        <f>VLOOKUP($B1010,[6]Complaints!$A$4:$AJ$39,35,)</f>
        <v>0</v>
      </c>
      <c r="J1048" s="67">
        <f>VLOOKUP($B1010,[7]Complaints!$A$4:$AJ$39,35,)</f>
        <v>0</v>
      </c>
      <c r="K1048" s="67">
        <f>VLOOKUP($B1010,[8]Complaints!$A$4:$AJ$39,35,)</f>
        <v>0</v>
      </c>
      <c r="L1048" s="67">
        <f>VLOOKUP($B1010,[9]Complaints!$A$4:$AJ$39,35,)</f>
        <v>0</v>
      </c>
      <c r="M1048" s="67">
        <f>VLOOKUP($B1010,[10]Complaints!$A$4:$AJ$39,35,)</f>
        <v>0</v>
      </c>
      <c r="N1048" s="67">
        <f>VLOOKUP($B1010,[11]Complaints!$A$4:$AJ$39,35,)</f>
        <v>0</v>
      </c>
      <c r="O1048" s="68">
        <f>VLOOKUP($B1010,[12]Complaints!$A$4:$AJ$39,35,)</f>
        <v>0</v>
      </c>
      <c r="P1048" s="69">
        <f t="shared" si="271"/>
        <v>0</v>
      </c>
      <c r="Q1048" s="70" t="str">
        <f>IF(P1048=0,"",P1048/$P1018)</f>
        <v/>
      </c>
      <c r="R1048" s="18"/>
    </row>
    <row r="1049" spans="2:18" ht="15.75" customHeight="1" thickBot="1" x14ac:dyDescent="0.25">
      <c r="B1049" s="147"/>
      <c r="C1049" s="41" t="s">
        <v>117</v>
      </c>
      <c r="D1049" s="78">
        <f>VLOOKUP($B1010,[1]Complaints!$A$4:$AJ$39,36,)</f>
        <v>0</v>
      </c>
      <c r="E1049" s="79">
        <f>VLOOKUP($B1010,[2]Complaints!$A$4:$AJ$39,36,)</f>
        <v>0</v>
      </c>
      <c r="F1049" s="79">
        <f>VLOOKUP($B1010,[3]Complaints!$A$4:$AJ$39,36,)</f>
        <v>0</v>
      </c>
      <c r="G1049" s="79">
        <f>VLOOKUP($B1010,[4]Complaints!$A$4:$AJ$39,36,)</f>
        <v>0</v>
      </c>
      <c r="H1049" s="79">
        <f>VLOOKUP($B1010,[5]Complaints!$A$4:$AJ$39,36,)</f>
        <v>0</v>
      </c>
      <c r="I1049" s="79">
        <f>VLOOKUP($B1010,[6]Complaints!$A$4:$AJ$39,36,)</f>
        <v>0</v>
      </c>
      <c r="J1049" s="79">
        <f>VLOOKUP($B1010,[7]Complaints!$A$4:$AJ$39,36,)</f>
        <v>0</v>
      </c>
      <c r="K1049" s="79">
        <f>VLOOKUP($B1010,[8]Complaints!$A$4:$AJ$39,36,)</f>
        <v>0</v>
      </c>
      <c r="L1049" s="79">
        <f>VLOOKUP($B1010,[9]Complaints!$A$4:$AJ$39,36,)</f>
        <v>0</v>
      </c>
      <c r="M1049" s="79">
        <f>VLOOKUP($B1010,[10]Complaints!$A$4:$AJ$39,36,)</f>
        <v>0</v>
      </c>
      <c r="N1049" s="79">
        <f>VLOOKUP($B1010,[11]Complaints!$A$4:$AJ$39,36,)</f>
        <v>0</v>
      </c>
      <c r="O1049" s="80">
        <f>VLOOKUP($B1010,[12]Complaints!$A$4:$AJ$39,36,)</f>
        <v>0</v>
      </c>
      <c r="P1049" s="81">
        <f t="shared" si="271"/>
        <v>0</v>
      </c>
      <c r="Q1049" s="82" t="str">
        <f>IF(P1049=0,"",P1049/$P1018)</f>
        <v/>
      </c>
      <c r="R1049" s="18"/>
    </row>
    <row r="1050" spans="2:18" ht="15.75" customHeight="1" thickBot="1" x14ac:dyDescent="0.25">
      <c r="R1050" s="18"/>
    </row>
    <row r="1051" spans="2:18" ht="15.75" customHeight="1" x14ac:dyDescent="0.25">
      <c r="B1051" s="158" t="s">
        <v>43</v>
      </c>
      <c r="C1051" s="159"/>
      <c r="D1051" s="32" t="s">
        <v>0</v>
      </c>
      <c r="E1051" s="20" t="s">
        <v>1</v>
      </c>
      <c r="F1051" s="20" t="s">
        <v>2</v>
      </c>
      <c r="G1051" s="20" t="s">
        <v>3</v>
      </c>
      <c r="H1051" s="20" t="s">
        <v>4</v>
      </c>
      <c r="I1051" s="20" t="s">
        <v>5</v>
      </c>
      <c r="J1051" s="20" t="s">
        <v>6</v>
      </c>
      <c r="K1051" s="20" t="s">
        <v>7</v>
      </c>
      <c r="L1051" s="20" t="s">
        <v>8</v>
      </c>
      <c r="M1051" s="20" t="s">
        <v>9</v>
      </c>
      <c r="N1051" s="20" t="s">
        <v>10</v>
      </c>
      <c r="O1051" s="33" t="s">
        <v>11</v>
      </c>
      <c r="P1051" s="35" t="s">
        <v>12</v>
      </c>
      <c r="Q1051" s="160" t="s">
        <v>104</v>
      </c>
      <c r="R1051" s="18"/>
    </row>
    <row r="1052" spans="2:18" ht="15.75" customHeight="1" thickBot="1" x14ac:dyDescent="0.3">
      <c r="B1052" s="162" t="s">
        <v>52</v>
      </c>
      <c r="C1052" s="163"/>
      <c r="D1052" s="34">
        <v>2020</v>
      </c>
      <c r="E1052" s="34">
        <v>2020</v>
      </c>
      <c r="F1052" s="34">
        <v>2020</v>
      </c>
      <c r="G1052" s="34">
        <v>2020</v>
      </c>
      <c r="H1052" s="34">
        <v>2020</v>
      </c>
      <c r="I1052" s="34">
        <v>2020</v>
      </c>
      <c r="J1052" s="34">
        <v>2020</v>
      </c>
      <c r="K1052" s="34">
        <v>2020</v>
      </c>
      <c r="L1052" s="34">
        <v>2020</v>
      </c>
      <c r="M1052" s="25">
        <v>2021</v>
      </c>
      <c r="N1052" s="25">
        <v>2021</v>
      </c>
      <c r="O1052" s="25">
        <v>2021</v>
      </c>
      <c r="P1052" s="36" t="s">
        <v>122</v>
      </c>
      <c r="Q1052" s="161"/>
      <c r="R1052" s="18"/>
    </row>
    <row r="1053" spans="2:18" ht="12.75" customHeight="1" thickBot="1" x14ac:dyDescent="0.25">
      <c r="B1053" s="164" t="s">
        <v>38</v>
      </c>
      <c r="C1053" s="165"/>
      <c r="D1053" s="42">
        <f>VLOOKUP($B1052,[1]Complaints!$A$4:$AJ$39,2,)</f>
        <v>295</v>
      </c>
      <c r="E1053" s="43">
        <f>VLOOKUP($B1052,[2]Complaints!$A$4:$AJ$39,2,)</f>
        <v>471</v>
      </c>
      <c r="F1053" s="43">
        <f>VLOOKUP($B1052,[3]Complaints!$A$4:$AJ$39,2)</f>
        <v>739</v>
      </c>
      <c r="G1053" s="43">
        <f>VLOOKUP($B1052,[4]Complaints!$A$4:$AJ$39,2)</f>
        <v>1108</v>
      </c>
      <c r="H1053" s="43">
        <f>VLOOKUP($B1052,[5]Complaints!$A$4:$AJ$39,2)</f>
        <v>1732</v>
      </c>
      <c r="I1053" s="43">
        <f>VLOOKUP($B1052,[6]Complaints!$A$4:$AJ$39,2)</f>
        <v>2059</v>
      </c>
      <c r="J1053" s="43">
        <f>VLOOKUP($B1052,[7]Complaints!$A$4:$AJ$39,2)</f>
        <v>1967</v>
      </c>
      <c r="K1053" s="43">
        <f>VLOOKUP($B1052,[8]Complaints!$A$4:$AJ$39,2)</f>
        <v>1967</v>
      </c>
      <c r="L1053" s="43">
        <f>VLOOKUP($B1052,[9]Complaints!$A$4:$AJ$39,2)</f>
        <v>1812</v>
      </c>
      <c r="M1053" s="43">
        <f>VLOOKUP($B1052,[10]Complaints!$A$4:$AJ$39,2)</f>
        <v>1416</v>
      </c>
      <c r="N1053" s="43">
        <f>VLOOKUP($B1052,[11]Complaints!$A$4:$AJ$39,2)</f>
        <v>0</v>
      </c>
      <c r="O1053" s="44">
        <f>VLOOKUP($B1052,[12]Complaints!$A$4:$AJ$39,2)</f>
        <v>0</v>
      </c>
      <c r="P1053" s="45">
        <f>SUM(D1053:O1053)</f>
        <v>13566</v>
      </c>
      <c r="Q1053" s="46"/>
      <c r="R1053" s="18"/>
    </row>
    <row r="1054" spans="2:18" ht="15.75" customHeight="1" x14ac:dyDescent="0.2">
      <c r="B1054" s="166" t="s">
        <v>94</v>
      </c>
      <c r="C1054" s="167"/>
      <c r="D1054" s="47">
        <f>VLOOKUP($B1052,[1]Complaints!$A$4:$AF$39,3,)</f>
        <v>0</v>
      </c>
      <c r="E1054" s="48">
        <f>VLOOKUP($B1052,[2]Complaints!$A$4:$AF$39,3,)</f>
        <v>0</v>
      </c>
      <c r="F1054" s="48">
        <f>VLOOKUP($B1052,[3]Complaints!$A$4:$AG$39,3,)</f>
        <v>2</v>
      </c>
      <c r="G1054" s="48">
        <f>VLOOKUP($B1052,[4]Complaints!$A$4:$AG$39,3,)</f>
        <v>0</v>
      </c>
      <c r="H1054" s="48">
        <f>VLOOKUP($B1052,[5]Complaints!$A$4:$AG$39,3,)</f>
        <v>0</v>
      </c>
      <c r="I1054" s="48">
        <f>VLOOKUP($B1052,[6]Complaints!$A$4:$AG$39,3,)</f>
        <v>1</v>
      </c>
      <c r="J1054" s="48">
        <f>VLOOKUP($B1052,[7]Complaints!$A$4:$AG$39,3,)</f>
        <v>2</v>
      </c>
      <c r="K1054" s="48">
        <f>VLOOKUP($B1052,[8]Complaints!$A$4:$AG$39,3,)</f>
        <v>2</v>
      </c>
      <c r="L1054" s="48">
        <f>VLOOKUP($B1052,[9]Complaints!$A$4:$AG$39,3,)</f>
        <v>0</v>
      </c>
      <c r="M1054" s="48">
        <f>VLOOKUP($B1052,[10]Complaints!$A$4:$AG$39,3,)</f>
        <v>2</v>
      </c>
      <c r="N1054" s="48">
        <f>VLOOKUP($B1052,[11]Complaints!$A$4:$AG$39,3,)</f>
        <v>0</v>
      </c>
      <c r="O1054" s="49">
        <f>VLOOKUP($B1052,[12]Complaints!$A$4:$AG$39,3,)</f>
        <v>0</v>
      </c>
      <c r="P1054" s="45">
        <f>SUM(D1054:O1054)</f>
        <v>9</v>
      </c>
      <c r="Q1054" s="50"/>
      <c r="R1054" s="18"/>
    </row>
    <row r="1055" spans="2:18" ht="15.75" customHeight="1" x14ac:dyDescent="0.2">
      <c r="B1055" s="26"/>
      <c r="C1055" s="28" t="s">
        <v>102</v>
      </c>
      <c r="D1055" s="51">
        <f>IF(D1053=0,"",D1054/D1053)</f>
        <v>0</v>
      </c>
      <c r="E1055" s="52">
        <f t="shared" ref="E1055:O1055" si="272">IF(E1053=0,"",E1054/E1053)</f>
        <v>0</v>
      </c>
      <c r="F1055" s="52">
        <f t="shared" si="272"/>
        <v>2.7063599458728013E-3</v>
      </c>
      <c r="G1055" s="52">
        <f t="shared" si="272"/>
        <v>0</v>
      </c>
      <c r="H1055" s="52">
        <f t="shared" si="272"/>
        <v>0</v>
      </c>
      <c r="I1055" s="52">
        <f t="shared" si="272"/>
        <v>4.8567265662943174E-4</v>
      </c>
      <c r="J1055" s="52">
        <f t="shared" si="272"/>
        <v>1.0167768174885613E-3</v>
      </c>
      <c r="K1055" s="52">
        <f t="shared" si="272"/>
        <v>1.0167768174885613E-3</v>
      </c>
      <c r="L1055" s="52">
        <f t="shared" si="272"/>
        <v>0</v>
      </c>
      <c r="M1055" s="52">
        <f t="shared" si="272"/>
        <v>1.4124293785310734E-3</v>
      </c>
      <c r="N1055" s="52" t="str">
        <f t="shared" si="272"/>
        <v/>
      </c>
      <c r="O1055" s="53" t="str">
        <f t="shared" si="272"/>
        <v/>
      </c>
      <c r="P1055" s="54">
        <f>IF(P1054="","",P1054/P1053)</f>
        <v>6.6342326404245913E-4</v>
      </c>
      <c r="Q1055" s="50"/>
      <c r="R1055" s="18"/>
    </row>
    <row r="1056" spans="2:18" s="21" customFormat="1" ht="15.75" customHeight="1" x14ac:dyDescent="0.2">
      <c r="B1056" s="155" t="s">
        <v>95</v>
      </c>
      <c r="C1056" s="156"/>
      <c r="D1056" s="47">
        <f>VLOOKUP($B1052,[1]Complaints!$A$4:$AF$39,4,)</f>
        <v>0</v>
      </c>
      <c r="E1056" s="48">
        <f>VLOOKUP($B1052,[2]Complaints!$A$4:$AF$39,4,)</f>
        <v>0</v>
      </c>
      <c r="F1056" s="48">
        <f>VLOOKUP($B1052,[3]Complaints!$A$4:$AG$39,4,)</f>
        <v>0</v>
      </c>
      <c r="G1056" s="48">
        <f>VLOOKUP($B1052,[4]Complaints!$A$4:$AG$39,4,)</f>
        <v>0</v>
      </c>
      <c r="H1056" s="48">
        <f>VLOOKUP($B1052,[5]Complaints!$A$4:$AG$39,4,)</f>
        <v>0</v>
      </c>
      <c r="I1056" s="48">
        <f>VLOOKUP($B1052,[6]Complaints!$A$4:$AG$39,4,)</f>
        <v>1</v>
      </c>
      <c r="J1056" s="48">
        <f>VLOOKUP($B1052,[7]Complaints!$A$4:$AG$39,4,)</f>
        <v>0</v>
      </c>
      <c r="K1056" s="48">
        <f>VLOOKUP($B1052,[8]Complaints!$A$4:$AG$39,4,)</f>
        <v>0</v>
      </c>
      <c r="L1056" s="48">
        <f>VLOOKUP($B1052,[9]Complaints!$A$4:$AG$39,4,)</f>
        <v>0</v>
      </c>
      <c r="M1056" s="48">
        <f>VLOOKUP($B1052,[10]Complaints!$A$4:$AG$39,4,)</f>
        <v>1</v>
      </c>
      <c r="N1056" s="48">
        <f>VLOOKUP($B1052,[11]Complaints!$A$4:$AG$39,4,)</f>
        <v>0</v>
      </c>
      <c r="O1056" s="49">
        <f>VLOOKUP($B1052,[12]Complaints!$A$4:$AG$39,4,)</f>
        <v>0</v>
      </c>
      <c r="P1056" s="55">
        <f t="shared" ref="P1056" si="273">SUM(D1056:O1056)</f>
        <v>2</v>
      </c>
      <c r="Q1056" s="50"/>
    </row>
    <row r="1057" spans="2:18" ht="15.75" customHeight="1" x14ac:dyDescent="0.2">
      <c r="B1057" s="26"/>
      <c r="C1057" s="28" t="s">
        <v>98</v>
      </c>
      <c r="D1057" s="51">
        <f>IF(D1053=0,"",D1056/D1053)</f>
        <v>0</v>
      </c>
      <c r="E1057" s="52">
        <f t="shared" ref="E1057:O1057" si="274">IF(E1053=0,"",E1056/E1053)</f>
        <v>0</v>
      </c>
      <c r="F1057" s="52">
        <f t="shared" si="274"/>
        <v>0</v>
      </c>
      <c r="G1057" s="52">
        <f t="shared" si="274"/>
        <v>0</v>
      </c>
      <c r="H1057" s="52">
        <f t="shared" si="274"/>
        <v>0</v>
      </c>
      <c r="I1057" s="52">
        <f t="shared" si="274"/>
        <v>4.8567265662943174E-4</v>
      </c>
      <c r="J1057" s="52">
        <f t="shared" si="274"/>
        <v>0</v>
      </c>
      <c r="K1057" s="52">
        <f t="shared" si="274"/>
        <v>0</v>
      </c>
      <c r="L1057" s="52">
        <f t="shared" si="274"/>
        <v>0</v>
      </c>
      <c r="M1057" s="52">
        <f t="shared" si="274"/>
        <v>7.0621468926553672E-4</v>
      </c>
      <c r="N1057" s="52" t="str">
        <f t="shared" si="274"/>
        <v/>
      </c>
      <c r="O1057" s="53" t="str">
        <f t="shared" si="274"/>
        <v/>
      </c>
      <c r="P1057" s="54">
        <f>IF(P1056="","",P1056/P1053)</f>
        <v>1.4742739200943535E-4</v>
      </c>
      <c r="Q1057" s="50"/>
      <c r="R1057" s="18"/>
    </row>
    <row r="1058" spans="2:18" ht="15.75" customHeight="1" x14ac:dyDescent="0.2">
      <c r="B1058" s="155" t="s">
        <v>96</v>
      </c>
      <c r="C1058" s="156"/>
      <c r="D1058" s="47">
        <f>VLOOKUP($B1052,[1]Complaints!$A$4:$AF$39,5,)</f>
        <v>0</v>
      </c>
      <c r="E1058" s="48">
        <f>VLOOKUP($B1052,[2]Complaints!$A$4:$AF$39,5,)</f>
        <v>0</v>
      </c>
      <c r="F1058" s="48">
        <f>VLOOKUP($B1052,[3]Complaints!$A$4:$AG$39,5,)</f>
        <v>2</v>
      </c>
      <c r="G1058" s="48">
        <f>VLOOKUP($B1052,[4]Complaints!$A$4:$AG$39,5,)</f>
        <v>0</v>
      </c>
      <c r="H1058" s="48">
        <f>VLOOKUP($B1052,[5]Complaints!$A$4:$AG$39,5,)</f>
        <v>0</v>
      </c>
      <c r="I1058" s="48">
        <f>VLOOKUP($B1052,[6]Complaints!$A$4:$AG$39,5,)</f>
        <v>0</v>
      </c>
      <c r="J1058" s="48">
        <f>VLOOKUP($B1052,[7]Complaints!$A$4:$AG$39,5,)</f>
        <v>2</v>
      </c>
      <c r="K1058" s="48">
        <f>VLOOKUP($B1052,[8]Complaints!$A$4:$AG$39,5,)</f>
        <v>2</v>
      </c>
      <c r="L1058" s="48">
        <f>VLOOKUP($B1052,[9]Complaints!$A$4:$AG$39,5,)</f>
        <v>0</v>
      </c>
      <c r="M1058" s="48">
        <f>VLOOKUP($B1052,[10]Complaints!$A$4:$AG$39,5,)</f>
        <v>1</v>
      </c>
      <c r="N1058" s="48">
        <f>VLOOKUP($B1052,[11]Complaints!$A$4:$AG$39,5,)</f>
        <v>0</v>
      </c>
      <c r="O1058" s="49">
        <f>VLOOKUP($B1052,[12]Complaints!$A$4:$AG$39,5,)</f>
        <v>0</v>
      </c>
      <c r="P1058" s="55">
        <f t="shared" ref="P1058" si="275">SUM(D1058:O1058)</f>
        <v>7</v>
      </c>
      <c r="Q1058" s="50"/>
      <c r="R1058" s="18"/>
    </row>
    <row r="1059" spans="2:18" ht="15.75" customHeight="1" x14ac:dyDescent="0.2">
      <c r="B1059" s="26"/>
      <c r="C1059" s="28" t="s">
        <v>99</v>
      </c>
      <c r="D1059" s="51">
        <f>IF(D1053=0,"",D1058/D1053)</f>
        <v>0</v>
      </c>
      <c r="E1059" s="52">
        <f t="shared" ref="E1059:O1059" si="276">IF(E1053=0,"",E1058/E1053)</f>
        <v>0</v>
      </c>
      <c r="F1059" s="52">
        <f t="shared" si="276"/>
        <v>2.7063599458728013E-3</v>
      </c>
      <c r="G1059" s="52">
        <f t="shared" si="276"/>
        <v>0</v>
      </c>
      <c r="H1059" s="52">
        <f t="shared" si="276"/>
        <v>0</v>
      </c>
      <c r="I1059" s="52">
        <f t="shared" si="276"/>
        <v>0</v>
      </c>
      <c r="J1059" s="52">
        <f t="shared" si="276"/>
        <v>1.0167768174885613E-3</v>
      </c>
      <c r="K1059" s="52">
        <f t="shared" si="276"/>
        <v>1.0167768174885613E-3</v>
      </c>
      <c r="L1059" s="52">
        <f t="shared" si="276"/>
        <v>0</v>
      </c>
      <c r="M1059" s="52">
        <f t="shared" si="276"/>
        <v>7.0621468926553672E-4</v>
      </c>
      <c r="N1059" s="52" t="str">
        <f t="shared" si="276"/>
        <v/>
      </c>
      <c r="O1059" s="53" t="str">
        <f t="shared" si="276"/>
        <v/>
      </c>
      <c r="P1059" s="54">
        <f>IF(P1058="","",P1058/P1053)</f>
        <v>5.1599587203302369E-4</v>
      </c>
      <c r="Q1059" s="50"/>
      <c r="R1059" s="18"/>
    </row>
    <row r="1060" spans="2:18" ht="15.75" customHeight="1" x14ac:dyDescent="0.2">
      <c r="B1060" s="157" t="s">
        <v>97</v>
      </c>
      <c r="C1060" s="156"/>
      <c r="D1060" s="47">
        <f>VLOOKUP($B1052,[1]Complaints!$A$4:$AF$39,6,)</f>
        <v>0</v>
      </c>
      <c r="E1060" s="48">
        <f>VLOOKUP($B1052,[2]Complaints!$A$4:$AF$39,6,)</f>
        <v>0</v>
      </c>
      <c r="F1060" s="48">
        <f>VLOOKUP($B1052,[3]Complaints!$A$4:$AG$39,6,)</f>
        <v>1</v>
      </c>
      <c r="G1060" s="48">
        <f>VLOOKUP($B1052,[4]Complaints!$A$4:$AG$39,6,)</f>
        <v>0</v>
      </c>
      <c r="H1060" s="48">
        <f>VLOOKUP($B1052,[5]Complaints!$A$4:$AG$39,6,)</f>
        <v>0</v>
      </c>
      <c r="I1060" s="48">
        <f>VLOOKUP($B1052,[6]Complaints!$A$4:$AG$39,6,)</f>
        <v>0</v>
      </c>
      <c r="J1060" s="48">
        <f>VLOOKUP($B1052,[7]Complaints!$A$4:$AG$39,6,)</f>
        <v>2</v>
      </c>
      <c r="K1060" s="48">
        <f>VLOOKUP($B1052,[8]Complaints!$A$4:$AG$39,6,)</f>
        <v>2</v>
      </c>
      <c r="L1060" s="48">
        <f>VLOOKUP($B1052,[9]Complaints!$A$4:$AG$39,6,)</f>
        <v>0</v>
      </c>
      <c r="M1060" s="48">
        <f>VLOOKUP($B1052,[10]Complaints!$A$4:$AG$39,6,)</f>
        <v>0</v>
      </c>
      <c r="N1060" s="48">
        <f>VLOOKUP($B1052,[11]Complaints!$A$4:$AG$39,6,)</f>
        <v>0</v>
      </c>
      <c r="O1060" s="49">
        <f>VLOOKUP($B1052,[12]Complaints!$A$4:$AG$39,6,)</f>
        <v>0</v>
      </c>
      <c r="P1060" s="55">
        <f t="shared" ref="P1060" si="277">SUM(D1060:O1060)</f>
        <v>5</v>
      </c>
      <c r="Q1060" s="50"/>
      <c r="R1060" s="18"/>
    </row>
    <row r="1061" spans="2:18" ht="15.75" customHeight="1" thickBot="1" x14ac:dyDescent="0.25">
      <c r="B1061" s="27"/>
      <c r="C1061" s="29" t="s">
        <v>100</v>
      </c>
      <c r="D1061" s="56" t="str">
        <f>IF(D1060=0,"",D1060/D1058)</f>
        <v/>
      </c>
      <c r="E1061" s="57" t="str">
        <f t="shared" ref="E1061:H1061" si="278">IF(E1060=0,"",E1060/E1058)</f>
        <v/>
      </c>
      <c r="F1061" s="57">
        <f t="shared" si="278"/>
        <v>0.5</v>
      </c>
      <c r="G1061" s="57" t="str">
        <f t="shared" si="278"/>
        <v/>
      </c>
      <c r="H1061" s="57" t="str">
        <f t="shared" si="278"/>
        <v/>
      </c>
      <c r="I1061" s="57" t="str">
        <f>IF(I1060=0,"",I1060/I1058)</f>
        <v/>
      </c>
      <c r="J1061" s="57">
        <f t="shared" ref="J1061:O1061" si="279">IF(J1060=0,"",J1060/J1058)</f>
        <v>1</v>
      </c>
      <c r="K1061" s="57">
        <f t="shared" si="279"/>
        <v>1</v>
      </c>
      <c r="L1061" s="57" t="str">
        <f t="shared" si="279"/>
        <v/>
      </c>
      <c r="M1061" s="57" t="str">
        <f t="shared" si="279"/>
        <v/>
      </c>
      <c r="N1061" s="57" t="str">
        <f t="shared" si="279"/>
        <v/>
      </c>
      <c r="O1061" s="58" t="str">
        <f t="shared" si="279"/>
        <v/>
      </c>
      <c r="P1061" s="59">
        <f>IF(P1060=0,"",P1060/P1058)</f>
        <v>0.7142857142857143</v>
      </c>
      <c r="Q1061" s="60"/>
      <c r="R1061" s="18"/>
    </row>
    <row r="1062" spans="2:18" ht="15.75" customHeight="1" x14ac:dyDescent="0.2">
      <c r="B1062" s="168" t="s">
        <v>103</v>
      </c>
      <c r="C1062" s="30" t="s">
        <v>77</v>
      </c>
      <c r="D1062" s="61">
        <f>VLOOKUP($B1052,[1]Complaints!$A$4:$AJ$39,7,)</f>
        <v>0</v>
      </c>
      <c r="E1062" s="43">
        <f>VLOOKUP($B1052,[2]Complaints!$A$4:$AJ$39,7,)</f>
        <v>0</v>
      </c>
      <c r="F1062" s="43">
        <f>VLOOKUP($B1052,[3]Complaints!$A$4:$AJ$39,7,)</f>
        <v>0</v>
      </c>
      <c r="G1062" s="43">
        <f>VLOOKUP($B1052,[4]Complaints!$A$4:$AJ$39,7,)</f>
        <v>0</v>
      </c>
      <c r="H1062" s="43">
        <f>VLOOKUP($B1052,[5]Complaints!$A$4:$AJ$39,7,)</f>
        <v>0</v>
      </c>
      <c r="I1062" s="43">
        <f>VLOOKUP($B1052,[6]Complaints!$A$4:$AJ$39,7,)</f>
        <v>1</v>
      </c>
      <c r="J1062" s="43">
        <f>VLOOKUP($B1052,[7]Complaints!$A$4:$AJ$39,7,)</f>
        <v>0</v>
      </c>
      <c r="K1062" s="43">
        <f>VLOOKUP($B1052,[8]Complaints!$A$4:$AJ$39,7,)</f>
        <v>0</v>
      </c>
      <c r="L1062" s="43">
        <f>VLOOKUP($B1052,[9]Complaints!$A$4:$AJ$39,7,)</f>
        <v>0</v>
      </c>
      <c r="M1062" s="43">
        <f>VLOOKUP($B1052,[10]Complaints!$A$4:$AJ$39,7,)</f>
        <v>0</v>
      </c>
      <c r="N1062" s="43">
        <f>VLOOKUP($B1052,[11]Complaints!$A$4:$AJ$39,7,)</f>
        <v>0</v>
      </c>
      <c r="O1062" s="44">
        <f>VLOOKUP($B1052,[12]Complaints!$A$4:$AJ$39,7,)</f>
        <v>0</v>
      </c>
      <c r="P1062" s="45">
        <f>SUM(D1062:O1062)</f>
        <v>1</v>
      </c>
      <c r="Q1062" s="46">
        <f>IF(P1062=0,"",P1062/$P1054)</f>
        <v>0.1111111111111111</v>
      </c>
      <c r="R1062" s="18"/>
    </row>
    <row r="1063" spans="2:18" ht="15.75" customHeight="1" x14ac:dyDescent="0.2">
      <c r="B1063" s="169"/>
      <c r="C1063" s="31" t="s">
        <v>89</v>
      </c>
      <c r="D1063" s="47">
        <f>VLOOKUP($B1052,[1]Complaints!$A$4:$AJ$39,8,)</f>
        <v>0</v>
      </c>
      <c r="E1063" s="48">
        <f>VLOOKUP($B1052,[2]Complaints!$A$4:$AJ$39,8,)</f>
        <v>0</v>
      </c>
      <c r="F1063" s="48">
        <f>VLOOKUP($B1052,[3]Complaints!$A$4:$AJ$39,8,)</f>
        <v>1</v>
      </c>
      <c r="G1063" s="48">
        <f>VLOOKUP($B1052,[4]Complaints!$A$4:$AJ$39,8,)</f>
        <v>0</v>
      </c>
      <c r="H1063" s="48">
        <f>VLOOKUP($B1052,[5]Complaints!$A$4:$AJ$39,8,)</f>
        <v>0</v>
      </c>
      <c r="I1063" s="48">
        <f>VLOOKUP($B1052,[6]Complaints!$A$4:$AJ$39,8,)</f>
        <v>0</v>
      </c>
      <c r="J1063" s="48">
        <f>VLOOKUP($B1052,[7]Complaints!$A$4:$AJ$39,8,)</f>
        <v>1</v>
      </c>
      <c r="K1063" s="48">
        <f>VLOOKUP($B1052,[8]Complaints!$A$4:$AJ$39,8,)</f>
        <v>0</v>
      </c>
      <c r="L1063" s="48">
        <f>VLOOKUP($B1052,[9]Complaints!$A$4:$AJ$39,8,)</f>
        <v>0</v>
      </c>
      <c r="M1063" s="48">
        <f>VLOOKUP($B1052,[10]Complaints!$A$4:$AJ$39,8,)</f>
        <v>0</v>
      </c>
      <c r="N1063" s="48">
        <f>VLOOKUP($B1052,[11]Complaints!$A$4:$AJ$39,8,)</f>
        <v>0</v>
      </c>
      <c r="O1063" s="49">
        <f>VLOOKUP($B1052,[12]Complaints!$A$4:$AJ$39,8,)</f>
        <v>0</v>
      </c>
      <c r="P1063" s="55">
        <f t="shared" ref="P1063:P1064" si="280">SUM(D1063:O1063)</f>
        <v>2</v>
      </c>
      <c r="Q1063" s="50">
        <f>IF(P1063="","",P1063/$P1054)</f>
        <v>0.22222222222222221</v>
      </c>
      <c r="R1063" s="18"/>
    </row>
    <row r="1064" spans="2:18" ht="15.75" customHeight="1" x14ac:dyDescent="0.2">
      <c r="B1064" s="169"/>
      <c r="C1064" s="31" t="s">
        <v>88</v>
      </c>
      <c r="D1064" s="47">
        <f>VLOOKUP($B1052,[1]Complaints!$A$4:$AJ$39,9,)</f>
        <v>0</v>
      </c>
      <c r="E1064" s="48">
        <f>VLOOKUP($B1052,[2]Complaints!$A$4:$AJ$39,9,)</f>
        <v>0</v>
      </c>
      <c r="F1064" s="48">
        <f>VLOOKUP($B1052,[3]Complaints!$A$4:$AJ$39,9,)</f>
        <v>0</v>
      </c>
      <c r="G1064" s="48">
        <f>VLOOKUP($B1052,[4]Complaints!$A$4:$AJ$39,9,)</f>
        <v>0</v>
      </c>
      <c r="H1064" s="48">
        <f>VLOOKUP($B1052,[5]Complaints!$A$4:$AJ$39,9,)</f>
        <v>0</v>
      </c>
      <c r="I1064" s="48">
        <f>VLOOKUP($B1052,[6]Complaints!$A$4:$AJ$39,9,)</f>
        <v>0</v>
      </c>
      <c r="J1064" s="48">
        <f>VLOOKUP($B1052,[7]Complaints!$A$4:$AJ$39,9,)</f>
        <v>0</v>
      </c>
      <c r="K1064" s="48">
        <f>VLOOKUP($B1052,[8]Complaints!$A$4:$AJ$39,9,)</f>
        <v>0</v>
      </c>
      <c r="L1064" s="48">
        <f>VLOOKUP($B1052,[9]Complaints!$A$4:$AJ$39,9,)</f>
        <v>0</v>
      </c>
      <c r="M1064" s="48">
        <f>VLOOKUP($B1052,[10]Complaints!$A$4:$AJ$39,9,)</f>
        <v>0</v>
      </c>
      <c r="N1064" s="48">
        <f>VLOOKUP($B1052,[11]Complaints!$A$4:$AJ$39,9,)</f>
        <v>0</v>
      </c>
      <c r="O1064" s="49">
        <f>VLOOKUP($B1052,[12]Complaints!$A$4:$AJ$39,9,)</f>
        <v>0</v>
      </c>
      <c r="P1064" s="55">
        <f t="shared" si="280"/>
        <v>0</v>
      </c>
      <c r="Q1064" s="50" t="str">
        <f>IF(P1064=0,"",P1064/$P1054)</f>
        <v/>
      </c>
      <c r="R1064" s="18"/>
    </row>
    <row r="1065" spans="2:18" ht="15.75" customHeight="1" x14ac:dyDescent="0.2">
      <c r="B1065" s="169"/>
      <c r="C1065" s="31" t="s">
        <v>13</v>
      </c>
      <c r="D1065" s="47">
        <f>VLOOKUP($B1052,[1]Complaints!$A$4:$AJ$39,10,)</f>
        <v>0</v>
      </c>
      <c r="E1065" s="48">
        <f>VLOOKUP($B1052,[2]Complaints!$A$4:$AJ$39,10,)</f>
        <v>0</v>
      </c>
      <c r="F1065" s="48">
        <f>VLOOKUP($B1052,[3]Complaints!$A$4:$AJ$39,10,)</f>
        <v>0</v>
      </c>
      <c r="G1065" s="48">
        <f>VLOOKUP($B1052,[4]Complaints!$A$4:$AJ$39,10,)</f>
        <v>0</v>
      </c>
      <c r="H1065" s="48">
        <f>VLOOKUP($B1052,[5]Complaints!$A$4:$AJ$39,10,)</f>
        <v>0</v>
      </c>
      <c r="I1065" s="48">
        <f>VLOOKUP($B1052,[6]Complaints!$A$4:$AJ$39,10,)</f>
        <v>0</v>
      </c>
      <c r="J1065" s="48">
        <f>VLOOKUP($B1052,[7]Complaints!$A$4:$AJ$39,10,)</f>
        <v>0</v>
      </c>
      <c r="K1065" s="48">
        <f>VLOOKUP($B1052,[8]Complaints!$A$4:$AJ$39,10,)</f>
        <v>1</v>
      </c>
      <c r="L1065" s="48">
        <f>VLOOKUP($B1052,[9]Complaints!$A$4:$AJ$39,10,)</f>
        <v>0</v>
      </c>
      <c r="M1065" s="48">
        <f>VLOOKUP($B1052,[10]Complaints!$A$4:$AJ$39,10,)</f>
        <v>1</v>
      </c>
      <c r="N1065" s="48">
        <f>VLOOKUP($B1052,[11]Complaints!$A$4:$AJ$39,10,)</f>
        <v>0</v>
      </c>
      <c r="O1065" s="49">
        <f>VLOOKUP($B1052,[12]Complaints!$A$4:$AJ$39,10,)</f>
        <v>0</v>
      </c>
      <c r="P1065" s="55">
        <f>SUM(D1065:O1065)</f>
        <v>2</v>
      </c>
      <c r="Q1065" s="50">
        <f>IF(P1065=0,"",P1065/$P1054)</f>
        <v>0.22222222222222221</v>
      </c>
      <c r="R1065" s="18"/>
    </row>
    <row r="1066" spans="2:18" ht="15.75" customHeight="1" x14ac:dyDescent="0.2">
      <c r="B1066" s="169"/>
      <c r="C1066" s="31" t="s">
        <v>101</v>
      </c>
      <c r="D1066" s="47">
        <f>VLOOKUP($B1052,[1]Complaints!$A$4:$AJ$39,11,)</f>
        <v>0</v>
      </c>
      <c r="E1066" s="48">
        <f>VLOOKUP($B1052,[2]Complaints!$A$4:$AJ$39,11,)</f>
        <v>0</v>
      </c>
      <c r="F1066" s="48">
        <f>VLOOKUP($B1052,[3]Complaints!$A$4:$AJ$39,11,)</f>
        <v>0</v>
      </c>
      <c r="G1066" s="48">
        <f>VLOOKUP($B1052,[4]Complaints!$A$4:$AJ$39,11,)</f>
        <v>0</v>
      </c>
      <c r="H1066" s="48">
        <f>VLOOKUP($B1052,[5]Complaints!$A$4:$AJ$39,11,)</f>
        <v>0</v>
      </c>
      <c r="I1066" s="48">
        <f>VLOOKUP($B1052,[6]Complaints!$A$4:$AJ$39,11,)</f>
        <v>0</v>
      </c>
      <c r="J1066" s="48">
        <f>VLOOKUP($B1052,[7]Complaints!$A$4:$AJ$39,11,)</f>
        <v>1</v>
      </c>
      <c r="K1066" s="48">
        <f>VLOOKUP($B1052,[8]Complaints!$A$4:$AJ$39,11,)</f>
        <v>0</v>
      </c>
      <c r="L1066" s="48">
        <f>VLOOKUP($B1052,[9]Complaints!$A$4:$AJ$39,11,)</f>
        <v>0</v>
      </c>
      <c r="M1066" s="48">
        <f>VLOOKUP($B1052,[10]Complaints!$A$4:$AJ$39,11,)</f>
        <v>0</v>
      </c>
      <c r="N1066" s="48">
        <f>VLOOKUP($B1052,[11]Complaints!$A$4:$AJ$39,11,)</f>
        <v>0</v>
      </c>
      <c r="O1066" s="49">
        <f>VLOOKUP($B1052,[12]Complaints!$A$4:$AJ$39,11,)</f>
        <v>0</v>
      </c>
      <c r="P1066" s="55">
        <f t="shared" ref="P1066:P1075" si="281">SUM(D1066:O1066)</f>
        <v>1</v>
      </c>
      <c r="Q1066" s="50">
        <f>IF(P1066=0,"",P1066/$P1054)</f>
        <v>0.1111111111111111</v>
      </c>
      <c r="R1066" s="18"/>
    </row>
    <row r="1067" spans="2:18" s="19" customFormat="1" ht="15.75" customHeight="1" x14ac:dyDescent="0.2">
      <c r="B1067" s="169"/>
      <c r="C1067" s="31" t="s">
        <v>93</v>
      </c>
      <c r="D1067" s="47">
        <f>VLOOKUP($B1052,[1]Complaints!$A$4:$AJ$39,12,)</f>
        <v>0</v>
      </c>
      <c r="E1067" s="48">
        <f>VLOOKUP($B1052,[2]Complaints!$A$4:$AJ$39,12,)</f>
        <v>0</v>
      </c>
      <c r="F1067" s="48">
        <f>VLOOKUP($B1052,[3]Complaints!$A$4:$AJ$39,12,)</f>
        <v>0</v>
      </c>
      <c r="G1067" s="48">
        <f>VLOOKUP($B1052,[4]Complaints!$A$4:$AJ$39,12,)</f>
        <v>0</v>
      </c>
      <c r="H1067" s="48">
        <f>VLOOKUP($B1052,[5]Complaints!$A$4:$AJ$39,12,)</f>
        <v>0</v>
      </c>
      <c r="I1067" s="48">
        <f>VLOOKUP($B1052,[6]Complaints!$A$4:$AJ$39,12,)</f>
        <v>0</v>
      </c>
      <c r="J1067" s="48">
        <f>VLOOKUP($B1052,[7]Complaints!$A$4:$AJ$39,12,)</f>
        <v>0</v>
      </c>
      <c r="K1067" s="48">
        <f>VLOOKUP($B1052,[8]Complaints!$A$4:$AJ$39,12,)</f>
        <v>0</v>
      </c>
      <c r="L1067" s="48">
        <f>VLOOKUP($B1052,[9]Complaints!$A$4:$AJ$39,12,)</f>
        <v>0</v>
      </c>
      <c r="M1067" s="48">
        <f>VLOOKUP($B1052,[10]Complaints!$A$4:$AJ$39,12,)</f>
        <v>1</v>
      </c>
      <c r="N1067" s="48">
        <f>VLOOKUP($B1052,[11]Complaints!$A$4:$AJ$39,12,)</f>
        <v>0</v>
      </c>
      <c r="O1067" s="49">
        <f>VLOOKUP($B1052,[12]Complaints!$A$4:$AJ$39,12,)</f>
        <v>0</v>
      </c>
      <c r="P1067" s="55">
        <f t="shared" si="281"/>
        <v>1</v>
      </c>
      <c r="Q1067" s="50">
        <f>IF(P1067=0,"",P1067/$P1054)</f>
        <v>0.1111111111111111</v>
      </c>
    </row>
    <row r="1068" spans="2:18" ht="15.75" customHeight="1" x14ac:dyDescent="0.2">
      <c r="B1068" s="169"/>
      <c r="C1068" s="31" t="s">
        <v>78</v>
      </c>
      <c r="D1068" s="47">
        <f>VLOOKUP($B1052,[1]Complaints!$A$4:$AJ$39,13,)</f>
        <v>0</v>
      </c>
      <c r="E1068" s="48">
        <f>VLOOKUP($B1052,[2]Complaints!$A$4:$AJ$39,13,)</f>
        <v>0</v>
      </c>
      <c r="F1068" s="48">
        <f>VLOOKUP($B1052,[3]Complaints!$A$4:$AJ$39,13,)</f>
        <v>0</v>
      </c>
      <c r="G1068" s="48">
        <f>VLOOKUP($B1052,[4]Complaints!$A$4:$AJ$39,13,)</f>
        <v>0</v>
      </c>
      <c r="H1068" s="48">
        <f>VLOOKUP($B1052,[5]Complaints!$A$4:$AJ$39,13,)</f>
        <v>0</v>
      </c>
      <c r="I1068" s="48">
        <f>VLOOKUP($B1052,[6]Complaints!$A$4:$AJ$39,13,)</f>
        <v>0</v>
      </c>
      <c r="J1068" s="48">
        <f>VLOOKUP($B1052,[7]Complaints!$A$4:$AJ$39,13,)</f>
        <v>0</v>
      </c>
      <c r="K1068" s="48">
        <f>VLOOKUP($B1052,[8]Complaints!$A$4:$AJ$39,13,)</f>
        <v>0</v>
      </c>
      <c r="L1068" s="48">
        <f>VLOOKUP($B1052,[9]Complaints!$A$4:$AJ$39,13,)</f>
        <v>0</v>
      </c>
      <c r="M1068" s="48">
        <f>VLOOKUP($B1052,[10]Complaints!$A$4:$AJ$39,13,)</f>
        <v>0</v>
      </c>
      <c r="N1068" s="48">
        <f>VLOOKUP($B1052,[11]Complaints!$A$4:$AJ$39,13,)</f>
        <v>0</v>
      </c>
      <c r="O1068" s="49">
        <f>VLOOKUP($B1052,[12]Complaints!$A$4:$AJ$39,13,)</f>
        <v>0</v>
      </c>
      <c r="P1068" s="55">
        <f t="shared" si="281"/>
        <v>0</v>
      </c>
      <c r="Q1068" s="50" t="str">
        <f>IF(P1068=0,"",P1068/$P1054)</f>
        <v/>
      </c>
      <c r="R1068" s="18"/>
    </row>
    <row r="1069" spans="2:18" ht="15.75" customHeight="1" x14ac:dyDescent="0.2">
      <c r="B1069" s="169"/>
      <c r="C1069" s="31" t="s">
        <v>92</v>
      </c>
      <c r="D1069" s="47">
        <f>VLOOKUP($B1052,[1]Complaints!$A$4:$AJ$39,14,)</f>
        <v>0</v>
      </c>
      <c r="E1069" s="48">
        <f>VLOOKUP($B1052,[2]Complaints!$A$4:$AJ$39,14,)</f>
        <v>0</v>
      </c>
      <c r="F1069" s="48">
        <f>VLOOKUP($B1052,[3]Complaints!$A$4:$AJ$39,14,)</f>
        <v>0</v>
      </c>
      <c r="G1069" s="48">
        <f>VLOOKUP($B1052,[4]Complaints!$A$4:$AJ$39,14,)</f>
        <v>0</v>
      </c>
      <c r="H1069" s="48">
        <f>VLOOKUP($B1052,[5]Complaints!$A$4:$AJ$39,14,)</f>
        <v>0</v>
      </c>
      <c r="I1069" s="48">
        <f>VLOOKUP($B1052,[6]Complaints!$A$4:$AJ$39,14,)</f>
        <v>0</v>
      </c>
      <c r="J1069" s="48">
        <f>VLOOKUP($B1052,[7]Complaints!$A$4:$AJ$39,14,)</f>
        <v>0</v>
      </c>
      <c r="K1069" s="48">
        <f>VLOOKUP($B1052,[8]Complaints!$A$4:$AJ$39,14,)</f>
        <v>0</v>
      </c>
      <c r="L1069" s="48">
        <f>VLOOKUP($B1052,[9]Complaints!$A$4:$AJ$39,14,)</f>
        <v>0</v>
      </c>
      <c r="M1069" s="48">
        <f>VLOOKUP($B1052,[10]Complaints!$A$4:$AJ$39,14,)</f>
        <v>0</v>
      </c>
      <c r="N1069" s="48">
        <f>VLOOKUP($B1052,[11]Complaints!$A$4:$AJ$39,14,)</f>
        <v>0</v>
      </c>
      <c r="O1069" s="49">
        <f>VLOOKUP($B1052,[12]Complaints!$A$4:$AJ$39,14,)</f>
        <v>0</v>
      </c>
      <c r="P1069" s="55">
        <f t="shared" si="281"/>
        <v>0</v>
      </c>
      <c r="Q1069" s="50" t="str">
        <f>IF(P1069=0,"",P1069/$P1054)</f>
        <v/>
      </c>
      <c r="R1069" s="18"/>
    </row>
    <row r="1070" spans="2:18" ht="15.75" customHeight="1" x14ac:dyDescent="0.2">
      <c r="B1070" s="169"/>
      <c r="C1070" s="31" t="s">
        <v>91</v>
      </c>
      <c r="D1070" s="47">
        <f>VLOOKUP($B1052,[1]Complaints!$A$4:$AJ$39,15,)</f>
        <v>0</v>
      </c>
      <c r="E1070" s="48">
        <f>VLOOKUP($B1052,[2]Complaints!$A$4:$AJ$39,15,)</f>
        <v>0</v>
      </c>
      <c r="F1070" s="48">
        <f>VLOOKUP($B1052,[3]Complaints!$A$4:$AJ$39,15,)</f>
        <v>1</v>
      </c>
      <c r="G1070" s="48">
        <f>VLOOKUP($B1052,[4]Complaints!$A$4:$AJ$39,15,)</f>
        <v>0</v>
      </c>
      <c r="H1070" s="48">
        <f>VLOOKUP($B1052,[5]Complaints!$A$4:$AJ$39,15,)</f>
        <v>0</v>
      </c>
      <c r="I1070" s="48">
        <f>VLOOKUP($B1052,[6]Complaints!$A$4:$AJ$39,15,)</f>
        <v>0</v>
      </c>
      <c r="J1070" s="48">
        <f>VLOOKUP($B1052,[7]Complaints!$A$4:$AJ$39,15,)</f>
        <v>0</v>
      </c>
      <c r="K1070" s="48">
        <f>VLOOKUP($B1052,[8]Complaints!$A$4:$AJ$39,15,)</f>
        <v>0</v>
      </c>
      <c r="L1070" s="48">
        <f>VLOOKUP($B1052,[9]Complaints!$A$4:$AJ$39,15,)</f>
        <v>0</v>
      </c>
      <c r="M1070" s="48">
        <f>VLOOKUP($B1052,[10]Complaints!$A$4:$AJ$39,15,)</f>
        <v>0</v>
      </c>
      <c r="N1070" s="48">
        <f>VLOOKUP($B1052,[11]Complaints!$A$4:$AJ$39,15,)</f>
        <v>0</v>
      </c>
      <c r="O1070" s="49">
        <f>VLOOKUP($B1052,[12]Complaints!$A$4:$AJ$39,15,)</f>
        <v>0</v>
      </c>
      <c r="P1070" s="55">
        <f t="shared" si="281"/>
        <v>1</v>
      </c>
      <c r="Q1070" s="50">
        <f>IF(P1070=0,"",P1070/$P1054)</f>
        <v>0.1111111111111111</v>
      </c>
      <c r="R1070" s="18"/>
    </row>
    <row r="1071" spans="2:18" ht="15.75" customHeight="1" x14ac:dyDescent="0.2">
      <c r="B1071" s="169"/>
      <c r="C1071" s="31" t="s">
        <v>79</v>
      </c>
      <c r="D1071" s="47">
        <f>VLOOKUP($B1052,[1]Complaints!$A$4:$AJ$39,16,)</f>
        <v>0</v>
      </c>
      <c r="E1071" s="48">
        <f>VLOOKUP($B1052,[2]Complaints!$A$4:$AJ$39,16,)</f>
        <v>0</v>
      </c>
      <c r="F1071" s="48">
        <f>VLOOKUP($B1052,[3]Complaints!$A$4:$AJ$39,16,)</f>
        <v>0</v>
      </c>
      <c r="G1071" s="48">
        <f>VLOOKUP($B1052,[4]Complaints!$A$4:$AJ$39,16,)</f>
        <v>0</v>
      </c>
      <c r="H1071" s="48">
        <f>VLOOKUP($B1052,[5]Complaints!$A$4:$AJ$39,16,)</f>
        <v>0</v>
      </c>
      <c r="I1071" s="48">
        <f>VLOOKUP($B1052,[6]Complaints!$A$4:$AJ$39,16,)</f>
        <v>0</v>
      </c>
      <c r="J1071" s="48">
        <f>VLOOKUP($B1052,[7]Complaints!$A$4:$AJ$39,16,)</f>
        <v>0</v>
      </c>
      <c r="K1071" s="48">
        <f>VLOOKUP($B1052,[8]Complaints!$A$4:$AJ$39,16,)</f>
        <v>0</v>
      </c>
      <c r="L1071" s="48">
        <f>VLOOKUP($B1052,[9]Complaints!$A$4:$AJ$39,16,)</f>
        <v>0</v>
      </c>
      <c r="M1071" s="48">
        <f>VLOOKUP($B1052,[10]Complaints!$A$4:$AJ$39,16,)</f>
        <v>0</v>
      </c>
      <c r="N1071" s="48">
        <f>VLOOKUP($B1052,[11]Complaints!$A$4:$AJ$39,16,)</f>
        <v>0</v>
      </c>
      <c r="O1071" s="49">
        <f>VLOOKUP($B1052,[12]Complaints!$A$4:$AJ$39,16,)</f>
        <v>0</v>
      </c>
      <c r="P1071" s="55">
        <f t="shared" si="281"/>
        <v>0</v>
      </c>
      <c r="Q1071" s="50" t="str">
        <f>IF(P1071=0,"",P1071/$P1054)</f>
        <v/>
      </c>
      <c r="R1071" s="18"/>
    </row>
    <row r="1072" spans="2:18" ht="15.75" customHeight="1" x14ac:dyDescent="0.2">
      <c r="B1072" s="169"/>
      <c r="C1072" s="31" t="s">
        <v>80</v>
      </c>
      <c r="D1072" s="47">
        <f>VLOOKUP($B1052,[1]Complaints!$A$4:$AJ$39,17,)</f>
        <v>0</v>
      </c>
      <c r="E1072" s="48">
        <f>VLOOKUP($B1052,[2]Complaints!$A$4:$AJ$39,17,)</f>
        <v>0</v>
      </c>
      <c r="F1072" s="48">
        <f>VLOOKUP($B1052,[3]Complaints!$A$4:$AJ$39,17,)</f>
        <v>0</v>
      </c>
      <c r="G1072" s="48">
        <f>VLOOKUP($B1052,[4]Complaints!$A$4:$AJ$39,17,)</f>
        <v>0</v>
      </c>
      <c r="H1072" s="48">
        <f>VLOOKUP($B1052,[5]Complaints!$A$4:$AJ$39,17,)</f>
        <v>0</v>
      </c>
      <c r="I1072" s="48">
        <f>VLOOKUP($B1052,[6]Complaints!$A$4:$AJ$39,17,)</f>
        <v>0</v>
      </c>
      <c r="J1072" s="48">
        <f>VLOOKUP($B1052,[7]Complaints!$A$4:$AJ$39,17,)</f>
        <v>0</v>
      </c>
      <c r="K1072" s="48">
        <f>VLOOKUP($B1052,[8]Complaints!$A$4:$AJ$39,17,)</f>
        <v>0</v>
      </c>
      <c r="L1072" s="48">
        <f>VLOOKUP($B1052,[9]Complaints!$A$4:$AJ$39,17,)</f>
        <v>0</v>
      </c>
      <c r="M1072" s="48">
        <f>VLOOKUP($B1052,[10]Complaints!$A$4:$AJ$39,17,)</f>
        <v>0</v>
      </c>
      <c r="N1072" s="48">
        <f>VLOOKUP($B1052,[11]Complaints!$A$4:$AJ$39,17,)</f>
        <v>0</v>
      </c>
      <c r="O1072" s="49">
        <f>VLOOKUP($B1052,[12]Complaints!$A$4:$AJ$39,17,)</f>
        <v>0</v>
      </c>
      <c r="P1072" s="55">
        <f t="shared" si="281"/>
        <v>0</v>
      </c>
      <c r="Q1072" s="50" t="str">
        <f>IF(P1072=0,"",P1072/$P1054)</f>
        <v/>
      </c>
      <c r="R1072" s="18"/>
    </row>
    <row r="1073" spans="1:19" ht="15.75" customHeight="1" x14ac:dyDescent="0.2">
      <c r="B1073" s="169"/>
      <c r="C1073" s="31" t="s">
        <v>81</v>
      </c>
      <c r="D1073" s="47">
        <f>VLOOKUP($B1052,[1]Complaints!$A$4:$AJ$39,18,)</f>
        <v>0</v>
      </c>
      <c r="E1073" s="48">
        <f>VLOOKUP($B1052,[2]Complaints!$A$4:$AJ$39,18,)</f>
        <v>0</v>
      </c>
      <c r="F1073" s="48">
        <f>VLOOKUP($B1052,[3]Complaints!$A$4:$AJ$39,18,)</f>
        <v>0</v>
      </c>
      <c r="G1073" s="48">
        <f>VLOOKUP($B1052,[4]Complaints!$A$4:$AJ$39,18,)</f>
        <v>0</v>
      </c>
      <c r="H1073" s="48">
        <f>VLOOKUP($B1052,[5]Complaints!$A$4:$AJ$39,18,)</f>
        <v>0</v>
      </c>
      <c r="I1073" s="48">
        <f>VLOOKUP($B1052,[6]Complaints!$A$4:$AJ$39,18,)</f>
        <v>0</v>
      </c>
      <c r="J1073" s="48">
        <f>VLOOKUP($B1052,[7]Complaints!$A$4:$AJ$39,18,)</f>
        <v>0</v>
      </c>
      <c r="K1073" s="48">
        <f>VLOOKUP($B1052,[8]Complaints!$A$4:$AJ$39,18,)</f>
        <v>0</v>
      </c>
      <c r="L1073" s="48">
        <f>VLOOKUP($B1052,[9]Complaints!$A$4:$AJ$39,18,)</f>
        <v>0</v>
      </c>
      <c r="M1073" s="48">
        <f>VLOOKUP($B1052,[10]Complaints!$A$4:$AJ$39,18,)</f>
        <v>0</v>
      </c>
      <c r="N1073" s="48">
        <f>VLOOKUP($B1052,[11]Complaints!$A$4:$AJ$39,18,)</f>
        <v>0</v>
      </c>
      <c r="O1073" s="49">
        <f>VLOOKUP($B1052,[12]Complaints!$A$4:$AJ$39,18,)</f>
        <v>0</v>
      </c>
      <c r="P1073" s="55">
        <f t="shared" si="281"/>
        <v>0</v>
      </c>
      <c r="Q1073" s="50" t="str">
        <f>IF(P1073=0,"",P1073/$P1054)</f>
        <v/>
      </c>
      <c r="R1073" s="18"/>
    </row>
    <row r="1074" spans="1:19" ht="15.75" customHeight="1" x14ac:dyDescent="0.2">
      <c r="B1074" s="169"/>
      <c r="C1074" s="31" t="s">
        <v>82</v>
      </c>
      <c r="D1074" s="47">
        <f>VLOOKUP($B1052,[1]Complaints!$A$4:$AJ$39,19,)</f>
        <v>0</v>
      </c>
      <c r="E1074" s="48">
        <f>VLOOKUP($B1052,[2]Complaints!$A$4:$AJ$39,19,)</f>
        <v>0</v>
      </c>
      <c r="F1074" s="48">
        <f>VLOOKUP($B1052,[3]Complaints!$A$4:$AJ$39,19,)</f>
        <v>0</v>
      </c>
      <c r="G1074" s="48">
        <f>VLOOKUP($B1052,[4]Complaints!$A$4:$AJ$39,19,)</f>
        <v>0</v>
      </c>
      <c r="H1074" s="48">
        <f>VLOOKUP($B1052,[5]Complaints!$A$4:$AJ$39,19,)</f>
        <v>0</v>
      </c>
      <c r="I1074" s="48">
        <f>VLOOKUP($B1052,[6]Complaints!$A$4:$AJ$39,19,)</f>
        <v>0</v>
      </c>
      <c r="J1074" s="48">
        <f>VLOOKUP($B1052,[7]Complaints!$A$4:$AJ$39,19,)</f>
        <v>0</v>
      </c>
      <c r="K1074" s="48">
        <f>VLOOKUP($B1052,[8]Complaints!$A$4:$AJ$39,19,)</f>
        <v>0</v>
      </c>
      <c r="L1074" s="48">
        <f>VLOOKUP($B1052,[9]Complaints!$A$4:$AJ$39,19,)</f>
        <v>0</v>
      </c>
      <c r="M1074" s="48">
        <f>VLOOKUP($B1052,[10]Complaints!$A$4:$AJ$39,19,)</f>
        <v>0</v>
      </c>
      <c r="N1074" s="48">
        <f>VLOOKUP($B1052,[11]Complaints!$A$4:$AJ$39,19,)</f>
        <v>0</v>
      </c>
      <c r="O1074" s="49">
        <f>VLOOKUP($B1052,[12]Complaints!$A$4:$AJ$39,19,)</f>
        <v>0</v>
      </c>
      <c r="P1074" s="55">
        <f t="shared" si="281"/>
        <v>0</v>
      </c>
      <c r="Q1074" s="50" t="str">
        <f>IF(P1074=0,"",P1074/$P1054)</f>
        <v/>
      </c>
      <c r="R1074" s="18"/>
    </row>
    <row r="1075" spans="1:19" ht="15.75" customHeight="1" thickBot="1" x14ac:dyDescent="0.25">
      <c r="B1075" s="170"/>
      <c r="C1075" s="31" t="s">
        <v>83</v>
      </c>
      <c r="D1075" s="47">
        <f>VLOOKUP($B1052,[1]Complaints!$A$4:$AJ$39,20,)</f>
        <v>0</v>
      </c>
      <c r="E1075" s="48">
        <f>VLOOKUP($B1052,[2]Complaints!$A$4:$AJ$39,20,)</f>
        <v>0</v>
      </c>
      <c r="F1075" s="48">
        <f>VLOOKUP($B1052,[3]Complaints!$A$4:$AJ$39,20,)</f>
        <v>0</v>
      </c>
      <c r="G1075" s="48">
        <f>VLOOKUP($B1052,[4]Complaints!$A$4:$AJ$39,20,)</f>
        <v>0</v>
      </c>
      <c r="H1075" s="48">
        <f>VLOOKUP($B1052,[5]Complaints!$A$4:$AJ$39,20,)</f>
        <v>0</v>
      </c>
      <c r="I1075" s="48">
        <f>VLOOKUP($B1052,[6]Complaints!$A$4:$AJ$39,20,)</f>
        <v>0</v>
      </c>
      <c r="J1075" s="48">
        <f>VLOOKUP($B1052,[7]Complaints!$A$4:$AJ$39,20,)</f>
        <v>0</v>
      </c>
      <c r="K1075" s="48">
        <f>VLOOKUP($B1052,[8]Complaints!$A$4:$AJ$39,20,)</f>
        <v>0</v>
      </c>
      <c r="L1075" s="48">
        <f>VLOOKUP($B1052,[9]Complaints!$A$4:$AJ$39,20,)</f>
        <v>0</v>
      </c>
      <c r="M1075" s="48">
        <f>VLOOKUP($B1052,[10]Complaints!$A$4:$AJ$39,20,)</f>
        <v>0</v>
      </c>
      <c r="N1075" s="48">
        <f>VLOOKUP($B1052,[11]Complaints!$A$4:$AJ$39,20,)</f>
        <v>0</v>
      </c>
      <c r="O1075" s="49">
        <f>VLOOKUP($B1052,[12]Complaints!$A$4:$AJ$39,20,)</f>
        <v>0</v>
      </c>
      <c r="P1075" s="55">
        <f t="shared" si="281"/>
        <v>0</v>
      </c>
      <c r="Q1075" s="50" t="str">
        <f>IF(P1075=0,"",P1075/$P1054)</f>
        <v/>
      </c>
      <c r="R1075" s="18"/>
    </row>
    <row r="1076" spans="1:19" ht="15.75" customHeight="1" x14ac:dyDescent="0.2">
      <c r="B1076" s="144" t="s">
        <v>90</v>
      </c>
      <c r="C1076" s="37" t="s">
        <v>118</v>
      </c>
      <c r="D1076" s="62">
        <f>VLOOKUP($B1052,[1]Complaints!$A$4:$AJ$39,21,)</f>
        <v>0</v>
      </c>
      <c r="E1076" s="63">
        <f>VLOOKUP($B1052,[2]Complaints!$A$4:$AJ$39,21,)</f>
        <v>0</v>
      </c>
      <c r="F1076" s="63">
        <f>VLOOKUP($B1052,[3]Complaints!$A$4:$AJ$39,21,)</f>
        <v>1</v>
      </c>
      <c r="G1076" s="63">
        <f>VLOOKUP($B1052,[4]Complaints!$A$4:$AJ$39,21,)</f>
        <v>0</v>
      </c>
      <c r="H1076" s="63">
        <f>VLOOKUP($B1052,[5]Complaints!$A$4:$AJ$39,21,)</f>
        <v>0</v>
      </c>
      <c r="I1076" s="63">
        <f>VLOOKUP($B1052,[6]Complaints!$A$4:$AJ$39,21,)</f>
        <v>1</v>
      </c>
      <c r="J1076" s="63">
        <f>VLOOKUP($B1052,[7]Complaints!$A$4:$AJ$39,21,)</f>
        <v>2</v>
      </c>
      <c r="K1076" s="63">
        <f>VLOOKUP($B1052,[8]Complaints!$A$4:$AJ$39,21,)</f>
        <v>2</v>
      </c>
      <c r="L1076" s="63">
        <f>VLOOKUP($B1052,[9]Complaints!$A$4:$AJ$39,21,)</f>
        <v>0</v>
      </c>
      <c r="M1076" s="63">
        <f>VLOOKUP($B1052,[10]Complaints!$A$4:$AJ$39,21,)</f>
        <v>0</v>
      </c>
      <c r="N1076" s="63">
        <f>VLOOKUP($B1052,[11]Complaints!$A$4:$AJ$39,21,)</f>
        <v>0</v>
      </c>
      <c r="O1076" s="64">
        <f>VLOOKUP($B1052,[12]Complaints!$A$4:$AJ$39,21,)</f>
        <v>0</v>
      </c>
      <c r="P1076" s="65">
        <f>SUM(D1076:O1076)</f>
        <v>6</v>
      </c>
      <c r="Q1076" s="46">
        <f>IF(P1076=0,"",P1076/$P1060)</f>
        <v>1.2</v>
      </c>
      <c r="R1076" s="18"/>
    </row>
    <row r="1077" spans="1:19" ht="15.75" customHeight="1" x14ac:dyDescent="0.2">
      <c r="B1077" s="145"/>
      <c r="C1077" s="38" t="s">
        <v>77</v>
      </c>
      <c r="D1077" s="66">
        <f>VLOOKUP($B1052,[1]Complaints!$A$4:$AJ$39,22,)</f>
        <v>0</v>
      </c>
      <c r="E1077" s="67">
        <f>VLOOKUP($B1052,[2]Complaints!$A$4:$AJ$39,22,)</f>
        <v>0</v>
      </c>
      <c r="F1077" s="67">
        <f>VLOOKUP($B1052,[3]Complaints!$A$4:$AJ$39,22,)</f>
        <v>1</v>
      </c>
      <c r="G1077" s="67">
        <f>VLOOKUP($B1052,[4]Complaints!$A$4:$AJ$39,22,)</f>
        <v>0</v>
      </c>
      <c r="H1077" s="67">
        <f>VLOOKUP($B1052,[5]Complaints!$A$4:$AJ$39,22,)</f>
        <v>0</v>
      </c>
      <c r="I1077" s="67">
        <f>VLOOKUP($B1052,[6]Complaints!$A$4:$AJ$39,22,)</f>
        <v>1</v>
      </c>
      <c r="J1077" s="67">
        <f>VLOOKUP($B1052,[7]Complaints!$A$4:$AJ$39,22,)</f>
        <v>0</v>
      </c>
      <c r="K1077" s="67">
        <f>VLOOKUP($B1052,[8]Complaints!$A$4:$AJ$39,22,)</f>
        <v>0</v>
      </c>
      <c r="L1077" s="67">
        <f>VLOOKUP($B1052,[9]Complaints!$A$4:$AJ$39,22,)</f>
        <v>0</v>
      </c>
      <c r="M1077" s="67">
        <f>VLOOKUP($B1052,[10]Complaints!$A$4:$AJ$39,22,)</f>
        <v>0</v>
      </c>
      <c r="N1077" s="67">
        <f>VLOOKUP($B1052,[11]Complaints!$A$4:$AJ$39,22,)</f>
        <v>0</v>
      </c>
      <c r="O1077" s="68">
        <f>VLOOKUP($B1052,[12]Complaints!$A$4:$AJ$39,22,)</f>
        <v>0</v>
      </c>
      <c r="P1077" s="69">
        <f t="shared" ref="P1077:P1091" si="282">SUM(D1077:O1077)</f>
        <v>2</v>
      </c>
      <c r="Q1077" s="70">
        <f>IF(P1077=0,"",P1077/$P1060)</f>
        <v>0.4</v>
      </c>
      <c r="R1077" s="18"/>
    </row>
    <row r="1078" spans="1:19" ht="15.75" customHeight="1" x14ac:dyDescent="0.2">
      <c r="B1078" s="145"/>
      <c r="C1078" s="38" t="s">
        <v>108</v>
      </c>
      <c r="D1078" s="66">
        <f>VLOOKUP($B1052,[1]Complaints!$A$4:$AJ$39,23,)</f>
        <v>0</v>
      </c>
      <c r="E1078" s="67">
        <f>VLOOKUP($B1052,[2]Complaints!$A$4:$AJ$39,23,)</f>
        <v>0</v>
      </c>
      <c r="F1078" s="67">
        <f>VLOOKUP($B1052,[3]Complaints!$A$4:$AJ$39,23,)</f>
        <v>0</v>
      </c>
      <c r="G1078" s="67">
        <f>VLOOKUP($B1052,[4]Complaints!$A$4:$AJ$39,23,)</f>
        <v>0</v>
      </c>
      <c r="H1078" s="67">
        <f>VLOOKUP($B1052,[5]Complaints!$A$4:$AJ$39,23,)</f>
        <v>0</v>
      </c>
      <c r="I1078" s="67">
        <f>VLOOKUP($B1052,[6]Complaints!$A$4:$AJ$39,23,)</f>
        <v>0</v>
      </c>
      <c r="J1078" s="67">
        <f>VLOOKUP($B1052,[7]Complaints!$A$4:$AJ$39,23,)</f>
        <v>1</v>
      </c>
      <c r="K1078" s="67">
        <f>VLOOKUP($B1052,[8]Complaints!$A$4:$AJ$39,23,)</f>
        <v>1</v>
      </c>
      <c r="L1078" s="67">
        <f>VLOOKUP($B1052,[9]Complaints!$A$4:$AJ$39,23,)</f>
        <v>0</v>
      </c>
      <c r="M1078" s="67">
        <f>VLOOKUP($B1052,[10]Complaints!$A$4:$AJ$39,23,)</f>
        <v>0</v>
      </c>
      <c r="N1078" s="67">
        <f>VLOOKUP($B1052,[11]Complaints!$A$4:$AJ$39,23,)</f>
        <v>0</v>
      </c>
      <c r="O1078" s="68">
        <f>VLOOKUP($B1052,[12]Complaints!$A$4:$AJ$39,23,)</f>
        <v>0</v>
      </c>
      <c r="P1078" s="69">
        <f t="shared" si="282"/>
        <v>2</v>
      </c>
      <c r="Q1078" s="70">
        <f>IF(P1078=0,"",P1078/$P1060)</f>
        <v>0.4</v>
      </c>
      <c r="R1078" s="18"/>
    </row>
    <row r="1079" spans="1:19" ht="15.75" customHeight="1" x14ac:dyDescent="0.2">
      <c r="B1079" s="145"/>
      <c r="C1079" s="38" t="s">
        <v>88</v>
      </c>
      <c r="D1079" s="66">
        <f>VLOOKUP($B1052,[1]Complaints!$A$4:$AJ$39,24,)</f>
        <v>0</v>
      </c>
      <c r="E1079" s="67">
        <f>VLOOKUP($B1052,[2]Complaints!$A$4:$AJ$39,24,)</f>
        <v>0</v>
      </c>
      <c r="F1079" s="67">
        <f>VLOOKUP($B1052,[3]Complaints!$A$4:$AJ$39,24,)</f>
        <v>0</v>
      </c>
      <c r="G1079" s="67">
        <f>VLOOKUP($B1052,[4]Complaints!$A$4:$AJ$39,24,)</f>
        <v>0</v>
      </c>
      <c r="H1079" s="67">
        <f>VLOOKUP($B1052,[5]Complaints!$A$4:$AJ$39,24,)</f>
        <v>0</v>
      </c>
      <c r="I1079" s="67">
        <f>VLOOKUP($B1052,[6]Complaints!$A$4:$AJ$39,24,)</f>
        <v>0</v>
      </c>
      <c r="J1079" s="67">
        <f>VLOOKUP($B1052,[7]Complaints!$A$4:$AJ$39,24,)</f>
        <v>0</v>
      </c>
      <c r="K1079" s="67">
        <f>VLOOKUP($B1052,[8]Complaints!$A$4:$AJ$39,24,)</f>
        <v>0</v>
      </c>
      <c r="L1079" s="67">
        <f>VLOOKUP($B1052,[9]Complaints!$A$4:$AJ$39,24,)</f>
        <v>0</v>
      </c>
      <c r="M1079" s="67">
        <f>VLOOKUP($B1052,[10]Complaints!$A$4:$AJ$39,24,)</f>
        <v>0</v>
      </c>
      <c r="N1079" s="67">
        <f>VLOOKUP($B1052,[11]Complaints!$A$4:$AJ$39,24,)</f>
        <v>0</v>
      </c>
      <c r="O1079" s="68">
        <f>VLOOKUP($B1052,[12]Complaints!$A$4:$AJ$39,24,)</f>
        <v>0</v>
      </c>
      <c r="P1079" s="69">
        <f t="shared" si="282"/>
        <v>0</v>
      </c>
      <c r="Q1079" s="70" t="str">
        <f>IF(P1079=0,"",P1079/$P1060)</f>
        <v/>
      </c>
      <c r="R1079" s="18"/>
    </row>
    <row r="1080" spans="1:19" ht="15.75" customHeight="1" x14ac:dyDescent="0.2">
      <c r="B1080" s="145"/>
      <c r="C1080" s="38" t="s">
        <v>109</v>
      </c>
      <c r="D1080" s="66">
        <f>VLOOKUP($B1052,[1]Complaints!$A$4:$AJ$39,25,)</f>
        <v>0</v>
      </c>
      <c r="E1080" s="67">
        <f>VLOOKUP($B1052,[2]Complaints!$A$4:$AJ$39,25,)</f>
        <v>0</v>
      </c>
      <c r="F1080" s="67">
        <f>VLOOKUP($B1052,[3]Complaints!$A$4:$AJ$39,25,)</f>
        <v>0</v>
      </c>
      <c r="G1080" s="67">
        <f>VLOOKUP($B1052,[4]Complaints!$A$4:$AJ$39,25,)</f>
        <v>0</v>
      </c>
      <c r="H1080" s="67">
        <f>VLOOKUP($B1052,[5]Complaints!$A$4:$AJ$39,25,)</f>
        <v>0</v>
      </c>
      <c r="I1080" s="67">
        <f>VLOOKUP($B1052,[6]Complaints!$A$4:$AJ$39,25,)</f>
        <v>0</v>
      </c>
      <c r="J1080" s="67">
        <f>VLOOKUP($B1052,[7]Complaints!$A$4:$AJ$39,25,)</f>
        <v>0</v>
      </c>
      <c r="K1080" s="67">
        <f>VLOOKUP($B1052,[8]Complaints!$A$4:$AJ$39,25,)</f>
        <v>0</v>
      </c>
      <c r="L1080" s="67">
        <f>VLOOKUP($B1052,[9]Complaints!$A$4:$AJ$39,25,)</f>
        <v>0</v>
      </c>
      <c r="M1080" s="67">
        <f>VLOOKUP($B1052,[10]Complaints!$A$4:$AJ$39,25,)</f>
        <v>0</v>
      </c>
      <c r="N1080" s="67">
        <f>VLOOKUP($B1052,[11]Complaints!$A$4:$AJ$39,25,)</f>
        <v>0</v>
      </c>
      <c r="O1080" s="68">
        <f>VLOOKUP($B1052,[12]Complaints!$A$4:$AJ$39,25,)</f>
        <v>0</v>
      </c>
      <c r="P1080" s="69">
        <f t="shared" si="282"/>
        <v>0</v>
      </c>
      <c r="Q1080" s="70" t="str">
        <f>IF(P1080=0,"",P1080/$P1060)</f>
        <v/>
      </c>
      <c r="R1080" s="18"/>
    </row>
    <row r="1081" spans="1:19" ht="15.75" customHeight="1" x14ac:dyDescent="0.2">
      <c r="A1081" s="21"/>
      <c r="B1081" s="145"/>
      <c r="C1081" s="38" t="s">
        <v>110</v>
      </c>
      <c r="D1081" s="66">
        <f>VLOOKUP($B1052,[1]Complaints!$A$4:$AJ$39,26,)</f>
        <v>0</v>
      </c>
      <c r="E1081" s="67">
        <f>VLOOKUP($B1052,[2]Complaints!$A$4:$AJ$39,26,)</f>
        <v>0</v>
      </c>
      <c r="F1081" s="67">
        <f>VLOOKUP($B1052,[3]Complaints!$A$4:$AJ$39,26,)</f>
        <v>0</v>
      </c>
      <c r="G1081" s="67">
        <f>VLOOKUP($B1052,[4]Complaints!$A$4:$AJ$39,26,)</f>
        <v>0</v>
      </c>
      <c r="H1081" s="67">
        <f>VLOOKUP($B1052,[5]Complaints!$A$4:$AJ$39,26,)</f>
        <v>0</v>
      </c>
      <c r="I1081" s="67">
        <f>VLOOKUP($B1052,[6]Complaints!$A$4:$AJ$39,26,)</f>
        <v>0</v>
      </c>
      <c r="J1081" s="67">
        <f>VLOOKUP($B1052,[7]Complaints!$A$4:$AJ$39,26,)</f>
        <v>0</v>
      </c>
      <c r="K1081" s="67">
        <f>VLOOKUP($B1052,[8]Complaints!$A$4:$AJ$39,26,)</f>
        <v>0</v>
      </c>
      <c r="L1081" s="67">
        <f>VLOOKUP($B1052,[9]Complaints!$A$4:$AJ$39,26,)</f>
        <v>0</v>
      </c>
      <c r="M1081" s="67">
        <f>VLOOKUP($B1052,[10]Complaints!$A$4:$AJ$39,26,)</f>
        <v>0</v>
      </c>
      <c r="N1081" s="67">
        <f>VLOOKUP($B1052,[11]Complaints!$A$4:$AJ$39,26,)</f>
        <v>0</v>
      </c>
      <c r="O1081" s="68">
        <f>VLOOKUP($B1052,[12]Complaints!$A$4:$AJ$39,26,)</f>
        <v>0</v>
      </c>
      <c r="P1081" s="69">
        <f t="shared" si="282"/>
        <v>0</v>
      </c>
      <c r="Q1081" s="70" t="str">
        <f>IF(P1081=0,"",P1081/$P1060)</f>
        <v/>
      </c>
      <c r="R1081" s="18"/>
    </row>
    <row r="1082" spans="1:19" s="21" customFormat="1" ht="15.75" customHeight="1" x14ac:dyDescent="0.2">
      <c r="B1082" s="145"/>
      <c r="C1082" s="39" t="s">
        <v>107</v>
      </c>
      <c r="D1082" s="71">
        <f>VLOOKUP($B1052,[1]Complaints!$A$4:$AJ$39,27,)</f>
        <v>0</v>
      </c>
      <c r="E1082" s="72">
        <f>VLOOKUP($B1052,[2]Complaints!$A$4:$AJ$39,27,)</f>
        <v>0</v>
      </c>
      <c r="F1082" s="72">
        <f>VLOOKUP($B1052,[3]Complaints!$A$4:$AJ$39,27,)</f>
        <v>0</v>
      </c>
      <c r="G1082" s="72">
        <f>VLOOKUP($B1052,[4]Complaints!$A$4:$AJ$39,27,)</f>
        <v>0</v>
      </c>
      <c r="H1082" s="72">
        <f>VLOOKUP($B1052,[5]Complaints!$A$4:$AJ$39,27,)</f>
        <v>0</v>
      </c>
      <c r="I1082" s="72">
        <f>VLOOKUP($B1052,[6]Complaints!$A$4:$AJ$39,27,)</f>
        <v>0</v>
      </c>
      <c r="J1082" s="72">
        <f>VLOOKUP($B1052,[7]Complaints!$A$4:$AJ$39,27,)</f>
        <v>1</v>
      </c>
      <c r="K1082" s="72">
        <f>VLOOKUP($B1052,[8]Complaints!$A$4:$AJ$39,27,)</f>
        <v>1</v>
      </c>
      <c r="L1082" s="72">
        <f>VLOOKUP($B1052,[9]Complaints!$A$4:$AJ$39,27,)</f>
        <v>0</v>
      </c>
      <c r="M1082" s="72">
        <f>VLOOKUP($B1052,[10]Complaints!$A$4:$AJ$39,27,)</f>
        <v>0</v>
      </c>
      <c r="N1082" s="72">
        <f>VLOOKUP($B1052,[11]Complaints!$A$4:$AJ$39,27,)</f>
        <v>0</v>
      </c>
      <c r="O1082" s="73">
        <f>VLOOKUP($B1052,[12]Complaints!$A$4:$AJ$39,27,)</f>
        <v>0</v>
      </c>
      <c r="P1082" s="69">
        <f t="shared" si="282"/>
        <v>2</v>
      </c>
      <c r="Q1082" s="70">
        <f>IF(P1082=0,"",P1082/$P1060)</f>
        <v>0.4</v>
      </c>
      <c r="S1082" s="18"/>
    </row>
    <row r="1083" spans="1:19" ht="15.75" customHeight="1" x14ac:dyDescent="0.2">
      <c r="B1083" s="145"/>
      <c r="C1083" s="39" t="s">
        <v>87</v>
      </c>
      <c r="D1083" s="71">
        <f>VLOOKUP($B1052,[1]Complaints!$A$4:$AJ$39,28,)</f>
        <v>0</v>
      </c>
      <c r="E1083" s="72">
        <f>VLOOKUP($B1052,[2]Complaints!$A$4:$AJ$39,28,)</f>
        <v>0</v>
      </c>
      <c r="F1083" s="72">
        <f>VLOOKUP($B1052,[3]Complaints!$A$4:$AJ$39,28,)</f>
        <v>0</v>
      </c>
      <c r="G1083" s="72">
        <f>VLOOKUP($B1052,[4]Complaints!$A$4:$AJ$39,28,)</f>
        <v>0</v>
      </c>
      <c r="H1083" s="72">
        <f>VLOOKUP($B1052,[5]Complaints!$A$4:$AJ$39,28,)</f>
        <v>0</v>
      </c>
      <c r="I1083" s="72">
        <f>VLOOKUP($B1052,[6]Complaints!$A$4:$AJ$39,28,)</f>
        <v>0</v>
      </c>
      <c r="J1083" s="72">
        <f>VLOOKUP($B1052,[7]Complaints!$A$4:$AJ$39,28,)</f>
        <v>0</v>
      </c>
      <c r="K1083" s="72">
        <f>VLOOKUP($B1052,[8]Complaints!$A$4:$AJ$39,28,)</f>
        <v>0</v>
      </c>
      <c r="L1083" s="72">
        <f>VLOOKUP($B1052,[9]Complaints!$A$4:$AJ$39,28,)</f>
        <v>0</v>
      </c>
      <c r="M1083" s="72">
        <f>VLOOKUP($B1052,[10]Complaints!$A$4:$AJ$39,28,)</f>
        <v>0</v>
      </c>
      <c r="N1083" s="72">
        <f>VLOOKUP($B1052,[11]Complaints!$A$4:$AJ$39,28,)</f>
        <v>0</v>
      </c>
      <c r="O1083" s="73">
        <f>VLOOKUP($B1052,[12]Complaints!$A$4:$AJ$39,28,)</f>
        <v>0</v>
      </c>
      <c r="P1083" s="69">
        <f t="shared" si="282"/>
        <v>0</v>
      </c>
      <c r="Q1083" s="70" t="str">
        <f>IF(P1083=0,"",P1083/$P1060)</f>
        <v/>
      </c>
      <c r="R1083" s="18"/>
    </row>
    <row r="1084" spans="1:19" ht="15.75" customHeight="1" x14ac:dyDescent="0.2">
      <c r="B1084" s="145"/>
      <c r="C1084" s="38" t="s">
        <v>111</v>
      </c>
      <c r="D1084" s="66">
        <f>VLOOKUP($B1052,[1]Complaints!$A$4:$AJ$39,29,)</f>
        <v>0</v>
      </c>
      <c r="E1084" s="67">
        <f>VLOOKUP($B1052,[2]Complaints!$A$4:$AJ$39,29,)</f>
        <v>0</v>
      </c>
      <c r="F1084" s="67">
        <f>VLOOKUP($B1052,[3]Complaints!$A$4:$AJ$39,29,)</f>
        <v>0</v>
      </c>
      <c r="G1084" s="67">
        <f>VLOOKUP($B1052,[4]Complaints!$A$4:$AJ$39,29,)</f>
        <v>0</v>
      </c>
      <c r="H1084" s="67">
        <f>VLOOKUP($B1052,[5]Complaints!$A$4:$AJ$39,29,)</f>
        <v>0</v>
      </c>
      <c r="I1084" s="67">
        <f>VLOOKUP($B1052,[6]Complaints!$A$4:$AJ$39,29,)</f>
        <v>0</v>
      </c>
      <c r="J1084" s="67">
        <f>VLOOKUP($B1052,[7]Complaints!$A$4:$AJ$39,29,)</f>
        <v>0</v>
      </c>
      <c r="K1084" s="67">
        <f>VLOOKUP($B1052,[8]Complaints!$A$4:$AJ$39,29,)</f>
        <v>0</v>
      </c>
      <c r="L1084" s="67">
        <f>VLOOKUP($B1052,[9]Complaints!$A$4:$AJ$39,29,)</f>
        <v>0</v>
      </c>
      <c r="M1084" s="67">
        <f>VLOOKUP($B1052,[10]Complaints!$A$4:$AJ$39,29,)</f>
        <v>0</v>
      </c>
      <c r="N1084" s="67">
        <f>VLOOKUP($B1052,[11]Complaints!$A$4:$AJ$39,29,)</f>
        <v>0</v>
      </c>
      <c r="O1084" s="68">
        <f>VLOOKUP($B1052,[12]Complaints!$A$4:$AJ$39,29,)</f>
        <v>0</v>
      </c>
      <c r="P1084" s="69">
        <f t="shared" si="282"/>
        <v>0</v>
      </c>
      <c r="Q1084" s="70" t="str">
        <f>IF(P1084=0,"",P1084/$P1060)</f>
        <v/>
      </c>
      <c r="R1084" s="18"/>
    </row>
    <row r="1085" spans="1:19" ht="15.75" customHeight="1" x14ac:dyDescent="0.2">
      <c r="B1085" s="145"/>
      <c r="C1085" s="38" t="s">
        <v>112</v>
      </c>
      <c r="D1085" s="66">
        <f>VLOOKUP($B1052,[1]Complaints!$A$4:$AJ$39,30,)</f>
        <v>0</v>
      </c>
      <c r="E1085" s="67">
        <f>VLOOKUP($B1052,[2]Complaints!$A$4:$AJ$39,30,)</f>
        <v>0</v>
      </c>
      <c r="F1085" s="67">
        <f>VLOOKUP($B1052,[3]Complaints!$A$4:$AJ$39,30,)</f>
        <v>0</v>
      </c>
      <c r="G1085" s="67">
        <f>VLOOKUP($B1052,[4]Complaints!$A$4:$AJ$39,30,)</f>
        <v>0</v>
      </c>
      <c r="H1085" s="67">
        <f>VLOOKUP($B1052,[5]Complaints!$A$4:$AJ$39,30,)</f>
        <v>0</v>
      </c>
      <c r="I1085" s="67">
        <f>VLOOKUP($B1052,[6]Complaints!$A$4:$AJ$39,30,)</f>
        <v>0</v>
      </c>
      <c r="J1085" s="67">
        <f>VLOOKUP($B1052,[7]Complaints!$A$4:$AJ$39,30,)</f>
        <v>0</v>
      </c>
      <c r="K1085" s="67">
        <f>VLOOKUP($B1052,[8]Complaints!$A$4:$AJ$39,30,)</f>
        <v>0</v>
      </c>
      <c r="L1085" s="67">
        <f>VLOOKUP($B1052,[9]Complaints!$A$4:$AJ$39,30,)</f>
        <v>0</v>
      </c>
      <c r="M1085" s="67">
        <f>VLOOKUP($B1052,[10]Complaints!$A$4:$AJ$39,30,)</f>
        <v>0</v>
      </c>
      <c r="N1085" s="67">
        <f>VLOOKUP($B1052,[11]Complaints!$A$4:$AJ$39,30,)</f>
        <v>0</v>
      </c>
      <c r="O1085" s="68">
        <f>VLOOKUP($B1052,[12]Complaints!$A$4:$AJ$39,30,)</f>
        <v>0</v>
      </c>
      <c r="P1085" s="69">
        <f t="shared" si="282"/>
        <v>0</v>
      </c>
      <c r="Q1085" s="70" t="str">
        <f>IF(P1085=0,"",P1085/$P1060)</f>
        <v/>
      </c>
      <c r="R1085" s="18"/>
    </row>
    <row r="1086" spans="1:19" ht="15.75" customHeight="1" x14ac:dyDescent="0.2">
      <c r="B1086" s="146"/>
      <c r="C1086" s="40" t="s">
        <v>119</v>
      </c>
      <c r="D1086" s="74">
        <f>VLOOKUP($B1052,[1]Complaints!$A$4:$AJ$39,31,)</f>
        <v>0</v>
      </c>
      <c r="E1086" s="75">
        <f>VLOOKUP($B1052,[2]Complaints!$A$4:$AJ$39,31,)</f>
        <v>0</v>
      </c>
      <c r="F1086" s="75">
        <f>VLOOKUP($B1052,[3]Complaints!$A$4:$AJ$39,31,)</f>
        <v>0</v>
      </c>
      <c r="G1086" s="75">
        <f>VLOOKUP($B1052,[4]Complaints!$A$4:$AJ$39,31,)</f>
        <v>0</v>
      </c>
      <c r="H1086" s="75">
        <f>VLOOKUP($B1052,[5]Complaints!$A$4:$AJ$39,31,)</f>
        <v>0</v>
      </c>
      <c r="I1086" s="75">
        <f>VLOOKUP($B1052,[6]Complaints!$A$4:$AJ$39,31,)</f>
        <v>0</v>
      </c>
      <c r="J1086" s="75">
        <f>VLOOKUP($B1052,[7]Complaints!$A$4:$AJ$39,31,)</f>
        <v>0</v>
      </c>
      <c r="K1086" s="75">
        <f>VLOOKUP($B1052,[8]Complaints!$A$4:$AJ$39,31,)</f>
        <v>0</v>
      </c>
      <c r="L1086" s="75">
        <f>VLOOKUP($B1052,[9]Complaints!$A$4:$AJ$39,31,)</f>
        <v>0</v>
      </c>
      <c r="M1086" s="75">
        <f>VLOOKUP($B1052,[10]Complaints!$A$4:$AJ$39,31,)</f>
        <v>0</v>
      </c>
      <c r="N1086" s="75">
        <f>VLOOKUP($B1052,[11]Complaints!$A$4:$AJ$39,31,)</f>
        <v>0</v>
      </c>
      <c r="O1086" s="76">
        <f>VLOOKUP($B1052,[12]Complaints!$A$4:$AJ$39,31,)</f>
        <v>0</v>
      </c>
      <c r="P1086" s="77">
        <f t="shared" si="282"/>
        <v>0</v>
      </c>
      <c r="Q1086" s="50" t="str">
        <f>IF(P1086=0,"",P1086/$P1060)</f>
        <v/>
      </c>
      <c r="R1086" s="18"/>
    </row>
    <row r="1087" spans="1:19" ht="15.75" customHeight="1" x14ac:dyDescent="0.2">
      <c r="B1087" s="146"/>
      <c r="C1087" s="38" t="s">
        <v>113</v>
      </c>
      <c r="D1087" s="66">
        <f>VLOOKUP($B1052,[1]Complaints!$A$4:$AJ$39,32,)</f>
        <v>0</v>
      </c>
      <c r="E1087" s="67">
        <f>VLOOKUP($B1052,[2]Complaints!$A$4:$AJ$39,32,)</f>
        <v>0</v>
      </c>
      <c r="F1087" s="67">
        <f>VLOOKUP($B1052,[3]Complaints!$A$4:$AJ$39,32,)</f>
        <v>0</v>
      </c>
      <c r="G1087" s="67">
        <f>VLOOKUP($B1052,[4]Complaints!$A$4:$AJ$39,32,)</f>
        <v>0</v>
      </c>
      <c r="H1087" s="67">
        <f>VLOOKUP($B1052,[5]Complaints!$A$4:$AJ$39,32,)</f>
        <v>0</v>
      </c>
      <c r="I1087" s="67">
        <f>VLOOKUP($B1052,[6]Complaints!$A$4:$AJ$39,32,)</f>
        <v>0</v>
      </c>
      <c r="J1087" s="67">
        <f>VLOOKUP($B1052,[7]Complaints!$A$4:$AJ$39,32,)</f>
        <v>0</v>
      </c>
      <c r="K1087" s="67">
        <f>VLOOKUP($B1052,[8]Complaints!$A$4:$AJ$39,32,)</f>
        <v>0</v>
      </c>
      <c r="L1087" s="67">
        <f>VLOOKUP($B1052,[9]Complaints!$A$4:$AJ$39,32,)</f>
        <v>0</v>
      </c>
      <c r="M1087" s="67">
        <f>VLOOKUP($B1052,[10]Complaints!$A$4:$AJ$39,32,)</f>
        <v>0</v>
      </c>
      <c r="N1087" s="67">
        <f>VLOOKUP($B1052,[11]Complaints!$A$4:$AJ$39,32,)</f>
        <v>0</v>
      </c>
      <c r="O1087" s="68">
        <f>VLOOKUP($B1052,[12]Complaints!$A$4:$AJ$39,32,)</f>
        <v>0</v>
      </c>
      <c r="P1087" s="69">
        <f t="shared" si="282"/>
        <v>0</v>
      </c>
      <c r="Q1087" s="70" t="str">
        <f>IF(P1087=0,"",P1087/$P1060)</f>
        <v/>
      </c>
      <c r="R1087" s="18"/>
    </row>
    <row r="1088" spans="1:19" ht="15.75" customHeight="1" x14ac:dyDescent="0.2">
      <c r="B1088" s="146"/>
      <c r="C1088" s="38" t="s">
        <v>114</v>
      </c>
      <c r="D1088" s="66">
        <f>VLOOKUP($B1052,[1]Complaints!$A$4:$AJ$39,33,)</f>
        <v>0</v>
      </c>
      <c r="E1088" s="67">
        <f>VLOOKUP($B1052,[2]Complaints!$A$4:$AJ$39,33,)</f>
        <v>0</v>
      </c>
      <c r="F1088" s="67">
        <f>VLOOKUP($B1052,[3]Complaints!$A$4:$AJ$39,33,)</f>
        <v>0</v>
      </c>
      <c r="G1088" s="67">
        <f>VLOOKUP($B1052,[4]Complaints!$A$4:$AJ$39,33,)</f>
        <v>0</v>
      </c>
      <c r="H1088" s="67">
        <f>VLOOKUP($B1052,[5]Complaints!$A$4:$AJ$39,33,)</f>
        <v>0</v>
      </c>
      <c r="I1088" s="67">
        <f>VLOOKUP($B1052,[6]Complaints!$A$4:$AJ$39,33,)</f>
        <v>0</v>
      </c>
      <c r="J1088" s="67">
        <f>VLOOKUP($B1052,[7]Complaints!$A$4:$AJ$39,33,)</f>
        <v>0</v>
      </c>
      <c r="K1088" s="67">
        <f>VLOOKUP($B1052,[8]Complaints!$A$4:$AJ$39,33,)</f>
        <v>0</v>
      </c>
      <c r="L1088" s="67">
        <f>VLOOKUP($B1052,[9]Complaints!$A$4:$AJ$39,33,)</f>
        <v>0</v>
      </c>
      <c r="M1088" s="67">
        <f>VLOOKUP($B1052,[10]Complaints!$A$4:$AJ$39,33,)</f>
        <v>0</v>
      </c>
      <c r="N1088" s="67">
        <f>VLOOKUP($B1052,[11]Complaints!$A$4:$AJ$39,33,)</f>
        <v>0</v>
      </c>
      <c r="O1088" s="68">
        <f>VLOOKUP($B1052,[12]Complaints!$A$4:$AJ$39,33,)</f>
        <v>0</v>
      </c>
      <c r="P1088" s="69">
        <f t="shared" si="282"/>
        <v>0</v>
      </c>
      <c r="Q1088" s="70" t="str">
        <f>IF(P1088=0,"",P1088/$P1060)</f>
        <v/>
      </c>
      <c r="R1088" s="18"/>
    </row>
    <row r="1089" spans="2:18" ht="15.75" customHeight="1" x14ac:dyDescent="0.2">
      <c r="B1089" s="146"/>
      <c r="C1089" s="38" t="s">
        <v>115</v>
      </c>
      <c r="D1089" s="66">
        <f>VLOOKUP($B1052,[1]Complaints!$A$4:$AJ$39,34,)</f>
        <v>0</v>
      </c>
      <c r="E1089" s="67">
        <f>VLOOKUP($B1052,[2]Complaints!$A$4:$AJ$39,34,)</f>
        <v>0</v>
      </c>
      <c r="F1089" s="67">
        <f>VLOOKUP($B1052,[3]Complaints!$A$4:$AJ$39,34,)</f>
        <v>0</v>
      </c>
      <c r="G1089" s="67">
        <f>VLOOKUP($B1052,[4]Complaints!$A$4:$AJ$39,34,)</f>
        <v>0</v>
      </c>
      <c r="H1089" s="67">
        <f>VLOOKUP($B1052,[5]Complaints!$A$4:$AJ$39,34,)</f>
        <v>0</v>
      </c>
      <c r="I1089" s="67">
        <f>VLOOKUP($B1052,[6]Complaints!$A$4:$AJ$39,34,)</f>
        <v>0</v>
      </c>
      <c r="J1089" s="67">
        <f>VLOOKUP($B1052,[7]Complaints!$A$4:$AJ$39,34,)</f>
        <v>0</v>
      </c>
      <c r="K1089" s="67">
        <f>VLOOKUP($B1052,[8]Complaints!$A$4:$AJ$39,34,)</f>
        <v>0</v>
      </c>
      <c r="L1089" s="67">
        <f>VLOOKUP($B1052,[9]Complaints!$A$4:$AJ$39,34,)</f>
        <v>0</v>
      </c>
      <c r="M1089" s="67">
        <f>VLOOKUP($B1052,[10]Complaints!$A$4:$AJ$39,34,)</f>
        <v>0</v>
      </c>
      <c r="N1089" s="67">
        <f>VLOOKUP($B1052,[11]Complaints!$A$4:$AJ$39,34,)</f>
        <v>0</v>
      </c>
      <c r="O1089" s="68">
        <f>VLOOKUP($B1052,[12]Complaints!$A$4:$AJ$39,34,)</f>
        <v>0</v>
      </c>
      <c r="P1089" s="69">
        <f t="shared" si="282"/>
        <v>0</v>
      </c>
      <c r="Q1089" s="70" t="str">
        <f>IF(P1089=0,"",P1089/$P1060)</f>
        <v/>
      </c>
      <c r="R1089" s="18"/>
    </row>
    <row r="1090" spans="2:18" ht="15.75" customHeight="1" x14ac:dyDescent="0.2">
      <c r="B1090" s="146"/>
      <c r="C1090" s="38" t="s">
        <v>116</v>
      </c>
      <c r="D1090" s="66">
        <f>VLOOKUP($B1052,[1]Complaints!$A$4:$AJ$39,35,)</f>
        <v>0</v>
      </c>
      <c r="E1090" s="67">
        <f>VLOOKUP($B1052,[2]Complaints!$A$4:$AJ$39,35,)</f>
        <v>0</v>
      </c>
      <c r="F1090" s="67">
        <f>VLOOKUP($B1052,[3]Complaints!$A$4:$AJ$39,35,)</f>
        <v>0</v>
      </c>
      <c r="G1090" s="67">
        <f>VLOOKUP($B1052,[4]Complaints!$A$4:$AJ$39,35,)</f>
        <v>0</v>
      </c>
      <c r="H1090" s="67">
        <f>VLOOKUP($B1052,[5]Complaints!$A$4:$AJ$39,35,)</f>
        <v>0</v>
      </c>
      <c r="I1090" s="67">
        <f>VLOOKUP($B1052,[6]Complaints!$A$4:$AJ$39,35,)</f>
        <v>0</v>
      </c>
      <c r="J1090" s="67">
        <f>VLOOKUP($B1052,[7]Complaints!$A$4:$AJ$39,35,)</f>
        <v>0</v>
      </c>
      <c r="K1090" s="67">
        <f>VLOOKUP($B1052,[8]Complaints!$A$4:$AJ$39,35,)</f>
        <v>0</v>
      </c>
      <c r="L1090" s="67">
        <f>VLOOKUP($B1052,[9]Complaints!$A$4:$AJ$39,35,)</f>
        <v>0</v>
      </c>
      <c r="M1090" s="67">
        <f>VLOOKUP($B1052,[10]Complaints!$A$4:$AJ$39,35,)</f>
        <v>0</v>
      </c>
      <c r="N1090" s="67">
        <f>VLOOKUP($B1052,[11]Complaints!$A$4:$AJ$39,35,)</f>
        <v>0</v>
      </c>
      <c r="O1090" s="68">
        <f>VLOOKUP($B1052,[12]Complaints!$A$4:$AJ$39,35,)</f>
        <v>0</v>
      </c>
      <c r="P1090" s="69">
        <f t="shared" si="282"/>
        <v>0</v>
      </c>
      <c r="Q1090" s="70" t="str">
        <f>IF(P1090=0,"",P1090/$P1060)</f>
        <v/>
      </c>
      <c r="R1090" s="18"/>
    </row>
    <row r="1091" spans="2:18" ht="15.75" customHeight="1" thickBot="1" x14ac:dyDescent="0.25">
      <c r="B1091" s="147"/>
      <c r="C1091" s="41" t="s">
        <v>117</v>
      </c>
      <c r="D1091" s="78">
        <f>VLOOKUP($B1052,[1]Complaints!$A$4:$AJ$39,36,)</f>
        <v>0</v>
      </c>
      <c r="E1091" s="79">
        <f>VLOOKUP($B1052,[2]Complaints!$A$4:$AJ$39,36,)</f>
        <v>0</v>
      </c>
      <c r="F1091" s="79">
        <f>VLOOKUP($B1052,[3]Complaints!$A$4:$AJ$39,36,)</f>
        <v>0</v>
      </c>
      <c r="G1091" s="79">
        <f>VLOOKUP($B1052,[4]Complaints!$A$4:$AJ$39,36,)</f>
        <v>0</v>
      </c>
      <c r="H1091" s="79">
        <f>VLOOKUP($B1052,[5]Complaints!$A$4:$AJ$39,36,)</f>
        <v>0</v>
      </c>
      <c r="I1091" s="79">
        <f>VLOOKUP($B1052,[6]Complaints!$A$4:$AJ$39,36,)</f>
        <v>0</v>
      </c>
      <c r="J1091" s="79">
        <f>VLOOKUP($B1052,[7]Complaints!$A$4:$AJ$39,36,)</f>
        <v>0</v>
      </c>
      <c r="K1091" s="79">
        <f>VLOOKUP($B1052,[8]Complaints!$A$4:$AJ$39,36,)</f>
        <v>0</v>
      </c>
      <c r="L1091" s="79">
        <f>VLOOKUP($B1052,[9]Complaints!$A$4:$AJ$39,36,)</f>
        <v>0</v>
      </c>
      <c r="M1091" s="79">
        <f>VLOOKUP($B1052,[10]Complaints!$A$4:$AJ$39,36,)</f>
        <v>0</v>
      </c>
      <c r="N1091" s="79">
        <f>VLOOKUP($B1052,[11]Complaints!$A$4:$AJ$39,36,)</f>
        <v>0</v>
      </c>
      <c r="O1091" s="80">
        <f>VLOOKUP($B1052,[12]Complaints!$A$4:$AJ$39,36,)</f>
        <v>0</v>
      </c>
      <c r="P1091" s="81">
        <f t="shared" si="282"/>
        <v>0</v>
      </c>
      <c r="Q1091" s="82" t="str">
        <f>IF(P1091=0,"",P1091/$P1060)</f>
        <v/>
      </c>
      <c r="R1091" s="18"/>
    </row>
    <row r="1092" spans="2:18" ht="15.75" customHeight="1" thickBot="1" x14ac:dyDescent="0.25">
      <c r="R1092" s="18"/>
    </row>
    <row r="1093" spans="2:18" ht="15.75" customHeight="1" x14ac:dyDescent="0.25">
      <c r="B1093" s="158" t="s">
        <v>32</v>
      </c>
      <c r="C1093" s="159"/>
      <c r="D1093" s="32" t="s">
        <v>0</v>
      </c>
      <c r="E1093" s="20" t="s">
        <v>1</v>
      </c>
      <c r="F1093" s="20" t="s">
        <v>2</v>
      </c>
      <c r="G1093" s="20" t="s">
        <v>3</v>
      </c>
      <c r="H1093" s="20" t="s">
        <v>4</v>
      </c>
      <c r="I1093" s="20" t="s">
        <v>5</v>
      </c>
      <c r="J1093" s="20" t="s">
        <v>6</v>
      </c>
      <c r="K1093" s="20" t="s">
        <v>7</v>
      </c>
      <c r="L1093" s="20" t="s">
        <v>8</v>
      </c>
      <c r="M1093" s="20" t="s">
        <v>9</v>
      </c>
      <c r="N1093" s="20" t="s">
        <v>10</v>
      </c>
      <c r="O1093" s="33" t="s">
        <v>11</v>
      </c>
      <c r="P1093" s="35" t="s">
        <v>12</v>
      </c>
      <c r="Q1093" s="160" t="s">
        <v>104</v>
      </c>
      <c r="R1093" s="18"/>
    </row>
    <row r="1094" spans="2:18" ht="15.75" customHeight="1" thickBot="1" x14ac:dyDescent="0.3">
      <c r="B1094" s="162" t="s">
        <v>51</v>
      </c>
      <c r="C1094" s="163"/>
      <c r="D1094" s="34">
        <v>2020</v>
      </c>
      <c r="E1094" s="34">
        <v>2020</v>
      </c>
      <c r="F1094" s="34">
        <v>2020</v>
      </c>
      <c r="G1094" s="34">
        <v>2020</v>
      </c>
      <c r="H1094" s="34">
        <v>2020</v>
      </c>
      <c r="I1094" s="34">
        <v>2020</v>
      </c>
      <c r="J1094" s="34">
        <v>2020</v>
      </c>
      <c r="K1094" s="34">
        <v>2020</v>
      </c>
      <c r="L1094" s="34">
        <v>2020</v>
      </c>
      <c r="M1094" s="25">
        <v>2021</v>
      </c>
      <c r="N1094" s="25">
        <v>2021</v>
      </c>
      <c r="O1094" s="25">
        <v>2021</v>
      </c>
      <c r="P1094" s="36" t="s">
        <v>122</v>
      </c>
      <c r="Q1094" s="161"/>
      <c r="R1094" s="18"/>
    </row>
    <row r="1095" spans="2:18" ht="12.75" customHeight="1" thickBot="1" x14ac:dyDescent="0.25">
      <c r="B1095" s="164" t="s">
        <v>38</v>
      </c>
      <c r="C1095" s="165"/>
      <c r="D1095" s="42">
        <f>VLOOKUP($B1094,[1]Complaints!$A$4:$AJ$39,2,)</f>
        <v>302</v>
      </c>
      <c r="E1095" s="43">
        <f>VLOOKUP($B1094,[2]Complaints!$A$4:$AJ$39,2,)</f>
        <v>428</v>
      </c>
      <c r="F1095" s="43">
        <f>VLOOKUP($B1094,[3]Complaints!$A$4:$AJ$39,2)</f>
        <v>627</v>
      </c>
      <c r="G1095" s="43">
        <f>VLOOKUP($B1094,[4]Complaints!$A$4:$AJ$39,2)</f>
        <v>1041</v>
      </c>
      <c r="H1095" s="43">
        <f>VLOOKUP($B1094,[5]Complaints!$A$4:$AJ$39,2)</f>
        <v>1120</v>
      </c>
      <c r="I1095" s="43">
        <f>VLOOKUP($B1094,[6]Complaints!$A$4:$AJ$39,2)</f>
        <v>1236</v>
      </c>
      <c r="J1095" s="43">
        <f>VLOOKUP($B1094,[7]Complaints!$A$4:$AJ$39,2)</f>
        <v>1133</v>
      </c>
      <c r="K1095" s="43">
        <f>VLOOKUP($B1094,[8]Complaints!$A$4:$AJ$39,2)</f>
        <v>1133</v>
      </c>
      <c r="L1095" s="43">
        <f>VLOOKUP($B1094,[9]Complaints!$A$4:$AJ$39,2)</f>
        <v>991</v>
      </c>
      <c r="M1095" s="43">
        <f>VLOOKUP($B1094,[10]Complaints!$A$4:$AJ$39,2)</f>
        <v>639</v>
      </c>
      <c r="N1095" s="43">
        <f>VLOOKUP($B1094,[11]Complaints!$A$4:$AJ$39,2)</f>
        <v>0</v>
      </c>
      <c r="O1095" s="44">
        <f>VLOOKUP($B1094,[12]Complaints!$A$4:$AJ$39,2)</f>
        <v>0</v>
      </c>
      <c r="P1095" s="45">
        <f>SUM(D1095:O1095)</f>
        <v>8650</v>
      </c>
      <c r="Q1095" s="46"/>
      <c r="R1095" s="18"/>
    </row>
    <row r="1096" spans="2:18" ht="15.75" customHeight="1" x14ac:dyDescent="0.2">
      <c r="B1096" s="166" t="s">
        <v>94</v>
      </c>
      <c r="C1096" s="167"/>
      <c r="D1096" s="47">
        <f>VLOOKUP($B1094,[1]Complaints!$A$4:$AF$39,3,)</f>
        <v>1</v>
      </c>
      <c r="E1096" s="48">
        <f>VLOOKUP($B1094,[2]Complaints!$A$4:$AF$39,3,)</f>
        <v>1</v>
      </c>
      <c r="F1096" s="48">
        <f>VLOOKUP($B1094,[3]Complaints!$A$4:$AG$39,3,)</f>
        <v>0</v>
      </c>
      <c r="G1096" s="48">
        <f>VLOOKUP($B1094,[4]Complaints!$A$4:$AG$39,3,)</f>
        <v>0</v>
      </c>
      <c r="H1096" s="48">
        <f>VLOOKUP($B1094,[5]Complaints!$A$4:$AG$39,3,)</f>
        <v>0</v>
      </c>
      <c r="I1096" s="48">
        <f>VLOOKUP($B1094,[6]Complaints!$A$4:$AG$39,3,)</f>
        <v>0</v>
      </c>
      <c r="J1096" s="48">
        <f>VLOOKUP($B1094,[7]Complaints!$A$4:$AG$39,3,)</f>
        <v>0</v>
      </c>
      <c r="K1096" s="48">
        <f>VLOOKUP($B1094,[8]Complaints!$A$4:$AG$39,3,)</f>
        <v>0</v>
      </c>
      <c r="L1096" s="48">
        <f>VLOOKUP($B1094,[9]Complaints!$A$4:$AG$39,3,)</f>
        <v>0</v>
      </c>
      <c r="M1096" s="48">
        <f>VLOOKUP($B1094,[10]Complaints!$A$4:$AG$39,3,)</f>
        <v>0</v>
      </c>
      <c r="N1096" s="48">
        <f>VLOOKUP($B1094,[11]Complaints!$A$4:$AG$39,3,)</f>
        <v>0</v>
      </c>
      <c r="O1096" s="49">
        <f>VLOOKUP($B1094,[12]Complaints!$A$4:$AG$39,3,)</f>
        <v>0</v>
      </c>
      <c r="P1096" s="45">
        <f>SUM(D1096:O1096)</f>
        <v>2</v>
      </c>
      <c r="Q1096" s="50"/>
      <c r="R1096" s="18"/>
    </row>
    <row r="1097" spans="2:18" ht="15.75" customHeight="1" x14ac:dyDescent="0.2">
      <c r="B1097" s="26"/>
      <c r="C1097" s="28" t="s">
        <v>102</v>
      </c>
      <c r="D1097" s="51">
        <f>IF(D1095=0,"",D1096/D1095)</f>
        <v>3.3112582781456954E-3</v>
      </c>
      <c r="E1097" s="52">
        <f t="shared" ref="E1097:O1097" si="283">IF(E1095=0,"",E1096/E1095)</f>
        <v>2.3364485981308409E-3</v>
      </c>
      <c r="F1097" s="52">
        <f t="shared" si="283"/>
        <v>0</v>
      </c>
      <c r="G1097" s="52">
        <f t="shared" si="283"/>
        <v>0</v>
      </c>
      <c r="H1097" s="52">
        <f t="shared" si="283"/>
        <v>0</v>
      </c>
      <c r="I1097" s="52">
        <f t="shared" si="283"/>
        <v>0</v>
      </c>
      <c r="J1097" s="52">
        <f t="shared" si="283"/>
        <v>0</v>
      </c>
      <c r="K1097" s="52">
        <f t="shared" si="283"/>
        <v>0</v>
      </c>
      <c r="L1097" s="52">
        <f t="shared" si="283"/>
        <v>0</v>
      </c>
      <c r="M1097" s="52">
        <f t="shared" si="283"/>
        <v>0</v>
      </c>
      <c r="N1097" s="52" t="str">
        <f t="shared" si="283"/>
        <v/>
      </c>
      <c r="O1097" s="53" t="str">
        <f t="shared" si="283"/>
        <v/>
      </c>
      <c r="P1097" s="54">
        <f>IF(P1096="","",P1096/P1095)</f>
        <v>2.3121387283236994E-4</v>
      </c>
      <c r="Q1097" s="50"/>
      <c r="R1097" s="18"/>
    </row>
    <row r="1098" spans="2:18" s="21" customFormat="1" ht="15.75" customHeight="1" x14ac:dyDescent="0.2">
      <c r="B1098" s="155" t="s">
        <v>95</v>
      </c>
      <c r="C1098" s="156"/>
      <c r="D1098" s="47">
        <f>VLOOKUP($B1094,[1]Complaints!$A$4:$AF$39,4,)</f>
        <v>0</v>
      </c>
      <c r="E1098" s="48">
        <f>VLOOKUP($B1094,[2]Complaints!$A$4:$AF$39,4,)</f>
        <v>0</v>
      </c>
      <c r="F1098" s="48">
        <f>VLOOKUP($B1094,[3]Complaints!$A$4:$AG$39,4,)</f>
        <v>0</v>
      </c>
      <c r="G1098" s="48">
        <f>VLOOKUP($B1094,[4]Complaints!$A$4:$AG$39,4,)</f>
        <v>0</v>
      </c>
      <c r="H1098" s="48">
        <f>VLOOKUP($B1094,[5]Complaints!$A$4:$AG$39,4,)</f>
        <v>0</v>
      </c>
      <c r="I1098" s="48">
        <f>VLOOKUP($B1094,[6]Complaints!$A$4:$AG$39,4,)</f>
        <v>0</v>
      </c>
      <c r="J1098" s="48">
        <f>VLOOKUP($B1094,[7]Complaints!$A$4:$AG$39,4,)</f>
        <v>0</v>
      </c>
      <c r="K1098" s="48">
        <f>VLOOKUP($B1094,[8]Complaints!$A$4:$AG$39,4,)</f>
        <v>0</v>
      </c>
      <c r="L1098" s="48">
        <f>VLOOKUP($B1094,[9]Complaints!$A$4:$AG$39,4,)</f>
        <v>0</v>
      </c>
      <c r="M1098" s="48">
        <f>VLOOKUP($B1094,[10]Complaints!$A$4:$AG$39,4,)</f>
        <v>0</v>
      </c>
      <c r="N1098" s="48">
        <f>VLOOKUP($B1094,[11]Complaints!$A$4:$AG$39,4,)</f>
        <v>0</v>
      </c>
      <c r="O1098" s="49">
        <f>VLOOKUP($B1094,[12]Complaints!$A$4:$AG$39,4,)</f>
        <v>0</v>
      </c>
      <c r="P1098" s="55">
        <f t="shared" ref="P1098" si="284">SUM(D1098:O1098)</f>
        <v>0</v>
      </c>
      <c r="Q1098" s="50"/>
    </row>
    <row r="1099" spans="2:18" ht="15.75" customHeight="1" x14ac:dyDescent="0.2">
      <c r="B1099" s="26"/>
      <c r="C1099" s="28" t="s">
        <v>98</v>
      </c>
      <c r="D1099" s="51">
        <f>IF(D1095=0,"",D1098/D1095)</f>
        <v>0</v>
      </c>
      <c r="E1099" s="52">
        <f t="shared" ref="E1099:O1099" si="285">IF(E1095=0,"",E1098/E1095)</f>
        <v>0</v>
      </c>
      <c r="F1099" s="52">
        <f t="shared" si="285"/>
        <v>0</v>
      </c>
      <c r="G1099" s="52">
        <f t="shared" si="285"/>
        <v>0</v>
      </c>
      <c r="H1099" s="52">
        <f t="shared" si="285"/>
        <v>0</v>
      </c>
      <c r="I1099" s="52">
        <f t="shared" si="285"/>
        <v>0</v>
      </c>
      <c r="J1099" s="52">
        <f t="shared" si="285"/>
        <v>0</v>
      </c>
      <c r="K1099" s="52">
        <f t="shared" si="285"/>
        <v>0</v>
      </c>
      <c r="L1099" s="52">
        <f t="shared" si="285"/>
        <v>0</v>
      </c>
      <c r="M1099" s="52">
        <f t="shared" si="285"/>
        <v>0</v>
      </c>
      <c r="N1099" s="52" t="str">
        <f t="shared" si="285"/>
        <v/>
      </c>
      <c r="O1099" s="53" t="str">
        <f t="shared" si="285"/>
        <v/>
      </c>
      <c r="P1099" s="54">
        <f>IF(P1098="","",P1098/P1095)</f>
        <v>0</v>
      </c>
      <c r="Q1099" s="50"/>
      <c r="R1099" s="18"/>
    </row>
    <row r="1100" spans="2:18" ht="15.75" customHeight="1" x14ac:dyDescent="0.2">
      <c r="B1100" s="155" t="s">
        <v>96</v>
      </c>
      <c r="C1100" s="156"/>
      <c r="D1100" s="47">
        <f>VLOOKUP($B1094,[1]Complaints!$A$4:$AF$39,5,)</f>
        <v>1</v>
      </c>
      <c r="E1100" s="48">
        <f>VLOOKUP($B1094,[2]Complaints!$A$4:$AF$39,5,)</f>
        <v>1</v>
      </c>
      <c r="F1100" s="48">
        <f>VLOOKUP($B1094,[3]Complaints!$A$4:$AG$39,5,)</f>
        <v>0</v>
      </c>
      <c r="G1100" s="48">
        <f>VLOOKUP($B1094,[4]Complaints!$A$4:$AG$39,5,)</f>
        <v>0</v>
      </c>
      <c r="H1100" s="48">
        <f>VLOOKUP($B1094,[5]Complaints!$A$4:$AG$39,5,)</f>
        <v>0</v>
      </c>
      <c r="I1100" s="48">
        <f>VLOOKUP($B1094,[6]Complaints!$A$4:$AG$39,5,)</f>
        <v>0</v>
      </c>
      <c r="J1100" s="48">
        <f>VLOOKUP($B1094,[7]Complaints!$A$4:$AG$39,5,)</f>
        <v>0</v>
      </c>
      <c r="K1100" s="48">
        <f>VLOOKUP($B1094,[8]Complaints!$A$4:$AG$39,5,)</f>
        <v>0</v>
      </c>
      <c r="L1100" s="48">
        <f>VLOOKUP($B1094,[9]Complaints!$A$4:$AG$39,5,)</f>
        <v>0</v>
      </c>
      <c r="M1100" s="48">
        <f>VLOOKUP($B1094,[10]Complaints!$A$4:$AG$39,5,)</f>
        <v>0</v>
      </c>
      <c r="N1100" s="48">
        <f>VLOOKUP($B1094,[11]Complaints!$A$4:$AG$39,5,)</f>
        <v>0</v>
      </c>
      <c r="O1100" s="49">
        <f>VLOOKUP($B1094,[12]Complaints!$A$4:$AG$39,5,)</f>
        <v>0</v>
      </c>
      <c r="P1100" s="55">
        <f t="shared" ref="P1100" si="286">SUM(D1100:O1100)</f>
        <v>2</v>
      </c>
      <c r="Q1100" s="50"/>
      <c r="R1100" s="18"/>
    </row>
    <row r="1101" spans="2:18" ht="15.75" customHeight="1" x14ac:dyDescent="0.2">
      <c r="B1101" s="26"/>
      <c r="C1101" s="28" t="s">
        <v>99</v>
      </c>
      <c r="D1101" s="51">
        <f>IF(D1095=0,"",D1100/D1095)</f>
        <v>3.3112582781456954E-3</v>
      </c>
      <c r="E1101" s="52">
        <f t="shared" ref="E1101:O1101" si="287">IF(E1095=0,"",E1100/E1095)</f>
        <v>2.3364485981308409E-3</v>
      </c>
      <c r="F1101" s="52">
        <f t="shared" si="287"/>
        <v>0</v>
      </c>
      <c r="G1101" s="52">
        <f t="shared" si="287"/>
        <v>0</v>
      </c>
      <c r="H1101" s="52">
        <f t="shared" si="287"/>
        <v>0</v>
      </c>
      <c r="I1101" s="52">
        <f t="shared" si="287"/>
        <v>0</v>
      </c>
      <c r="J1101" s="52">
        <f t="shared" si="287"/>
        <v>0</v>
      </c>
      <c r="K1101" s="52">
        <f t="shared" si="287"/>
        <v>0</v>
      </c>
      <c r="L1101" s="52">
        <f t="shared" si="287"/>
        <v>0</v>
      </c>
      <c r="M1101" s="52">
        <f t="shared" si="287"/>
        <v>0</v>
      </c>
      <c r="N1101" s="52" t="str">
        <f t="shared" si="287"/>
        <v/>
      </c>
      <c r="O1101" s="53" t="str">
        <f t="shared" si="287"/>
        <v/>
      </c>
      <c r="P1101" s="54">
        <f>IF(P1100="","",P1100/P1095)</f>
        <v>2.3121387283236994E-4</v>
      </c>
      <c r="Q1101" s="50"/>
      <c r="R1101" s="18"/>
    </row>
    <row r="1102" spans="2:18" ht="15.75" customHeight="1" x14ac:dyDescent="0.2">
      <c r="B1102" s="157" t="s">
        <v>97</v>
      </c>
      <c r="C1102" s="156"/>
      <c r="D1102" s="47">
        <f>VLOOKUP($B1094,[1]Complaints!$A$4:$AF$39,6,)</f>
        <v>1</v>
      </c>
      <c r="E1102" s="48">
        <f>VLOOKUP($B1094,[2]Complaints!$A$4:$AF$39,6,)</f>
        <v>1</v>
      </c>
      <c r="F1102" s="48">
        <f>VLOOKUP($B1094,[3]Complaints!$A$4:$AG$39,6,)</f>
        <v>0</v>
      </c>
      <c r="G1102" s="48">
        <f>VLOOKUP($B1094,[4]Complaints!$A$4:$AG$39,6,)</f>
        <v>0</v>
      </c>
      <c r="H1102" s="48">
        <f>VLOOKUP($B1094,[5]Complaints!$A$4:$AG$39,6,)</f>
        <v>0</v>
      </c>
      <c r="I1102" s="48">
        <f>VLOOKUP($B1094,[6]Complaints!$A$4:$AG$39,6,)</f>
        <v>0</v>
      </c>
      <c r="J1102" s="48">
        <f>VLOOKUP($B1094,[7]Complaints!$A$4:$AG$39,6,)</f>
        <v>0</v>
      </c>
      <c r="K1102" s="48">
        <f>VLOOKUP($B1094,[8]Complaints!$A$4:$AG$39,6,)</f>
        <v>0</v>
      </c>
      <c r="L1102" s="48">
        <f>VLOOKUP($B1094,[9]Complaints!$A$4:$AG$39,6,)</f>
        <v>0</v>
      </c>
      <c r="M1102" s="48">
        <f>VLOOKUP($B1094,[10]Complaints!$A$4:$AG$39,6,)</f>
        <v>0</v>
      </c>
      <c r="N1102" s="48">
        <f>VLOOKUP($B1094,[11]Complaints!$A$4:$AG$39,6,)</f>
        <v>0</v>
      </c>
      <c r="O1102" s="49">
        <f>VLOOKUP($B1094,[12]Complaints!$A$4:$AG$39,6,)</f>
        <v>0</v>
      </c>
      <c r="P1102" s="55">
        <f t="shared" ref="P1102" si="288">SUM(D1102:O1102)</f>
        <v>2</v>
      </c>
      <c r="Q1102" s="50"/>
      <c r="R1102" s="18"/>
    </row>
    <row r="1103" spans="2:18" ht="15.75" customHeight="1" thickBot="1" x14ac:dyDescent="0.25">
      <c r="B1103" s="27"/>
      <c r="C1103" s="29" t="s">
        <v>100</v>
      </c>
      <c r="D1103" s="56">
        <f>IF(D1102=0,"",D1102/D1100)</f>
        <v>1</v>
      </c>
      <c r="E1103" s="57">
        <f t="shared" ref="E1103:H1103" si="289">IF(E1102=0,"",E1102/E1100)</f>
        <v>1</v>
      </c>
      <c r="F1103" s="57" t="str">
        <f t="shared" si="289"/>
        <v/>
      </c>
      <c r="G1103" s="57" t="str">
        <f t="shared" si="289"/>
        <v/>
      </c>
      <c r="H1103" s="57" t="str">
        <f t="shared" si="289"/>
        <v/>
      </c>
      <c r="I1103" s="57" t="str">
        <f>IF(I1102=0,"",I1102/I1100)</f>
        <v/>
      </c>
      <c r="J1103" s="57" t="str">
        <f t="shared" ref="J1103:O1103" si="290">IF(J1102=0,"",J1102/J1100)</f>
        <v/>
      </c>
      <c r="K1103" s="57" t="str">
        <f t="shared" si="290"/>
        <v/>
      </c>
      <c r="L1103" s="57" t="str">
        <f t="shared" si="290"/>
        <v/>
      </c>
      <c r="M1103" s="57" t="str">
        <f t="shared" si="290"/>
        <v/>
      </c>
      <c r="N1103" s="57" t="str">
        <f t="shared" si="290"/>
        <v/>
      </c>
      <c r="O1103" s="58" t="str">
        <f t="shared" si="290"/>
        <v/>
      </c>
      <c r="P1103" s="59">
        <f>IF(P1102=0,"",P1102/P1100)</f>
        <v>1</v>
      </c>
      <c r="Q1103" s="60"/>
      <c r="R1103" s="18"/>
    </row>
    <row r="1104" spans="2:18" ht="15.75" customHeight="1" x14ac:dyDescent="0.2">
      <c r="B1104" s="168" t="s">
        <v>103</v>
      </c>
      <c r="C1104" s="30" t="s">
        <v>77</v>
      </c>
      <c r="D1104" s="61">
        <f>VLOOKUP($B1094,[1]Complaints!$A$4:$AJ$39,7,)</f>
        <v>0</v>
      </c>
      <c r="E1104" s="43">
        <f>VLOOKUP($B1094,[2]Complaints!$A$4:$AJ$39,7,)</f>
        <v>0</v>
      </c>
      <c r="F1104" s="43">
        <f>VLOOKUP($B1094,[3]Complaints!$A$4:$AJ$39,7,)</f>
        <v>0</v>
      </c>
      <c r="G1104" s="43">
        <f>VLOOKUP($B1094,[4]Complaints!$A$4:$AJ$39,7,)</f>
        <v>0</v>
      </c>
      <c r="H1104" s="43">
        <f>VLOOKUP($B1094,[5]Complaints!$A$4:$AJ$39,7,)</f>
        <v>0</v>
      </c>
      <c r="I1104" s="43">
        <f>VLOOKUP($B1094,[6]Complaints!$A$4:$AJ$39,7,)</f>
        <v>0</v>
      </c>
      <c r="J1104" s="43">
        <f>VLOOKUP($B1094,[7]Complaints!$A$4:$AJ$39,7,)</f>
        <v>0</v>
      </c>
      <c r="K1104" s="43">
        <f>VLOOKUP($B1094,[8]Complaints!$A$4:$AJ$39,7,)</f>
        <v>0</v>
      </c>
      <c r="L1104" s="43">
        <f>VLOOKUP($B1094,[9]Complaints!$A$4:$AJ$39,7,)</f>
        <v>0</v>
      </c>
      <c r="M1104" s="43">
        <f>VLOOKUP($B1094,[10]Complaints!$A$4:$AJ$39,7,)</f>
        <v>0</v>
      </c>
      <c r="N1104" s="43">
        <f>VLOOKUP($B1094,[11]Complaints!$A$4:$AJ$39,7,)</f>
        <v>0</v>
      </c>
      <c r="O1104" s="44">
        <f>VLOOKUP($B1094,[12]Complaints!$A$4:$AJ$39,7,)</f>
        <v>0</v>
      </c>
      <c r="P1104" s="45">
        <f>SUM(D1104:O1104)</f>
        <v>0</v>
      </c>
      <c r="Q1104" s="46" t="str">
        <f>IF(P1104=0,"",P1104/$P1096)</f>
        <v/>
      </c>
      <c r="R1104" s="18"/>
    </row>
    <row r="1105" spans="2:18" ht="15.75" customHeight="1" x14ac:dyDescent="0.2">
      <c r="B1105" s="169"/>
      <c r="C1105" s="31" t="s">
        <v>89</v>
      </c>
      <c r="D1105" s="47">
        <f>VLOOKUP($B1094,[1]Complaints!$A$4:$AJ$39,8,)</f>
        <v>0</v>
      </c>
      <c r="E1105" s="48">
        <f>VLOOKUP($B1094,[2]Complaints!$A$4:$AJ$39,8,)</f>
        <v>1</v>
      </c>
      <c r="F1105" s="48">
        <f>VLOOKUP($B1094,[3]Complaints!$A$4:$AJ$39,8,)</f>
        <v>0</v>
      </c>
      <c r="G1105" s="48">
        <f>VLOOKUP($B1094,[4]Complaints!$A$4:$AJ$39,8,)</f>
        <v>0</v>
      </c>
      <c r="H1105" s="48">
        <f>VLOOKUP($B1094,[5]Complaints!$A$4:$AJ$39,8,)</f>
        <v>0</v>
      </c>
      <c r="I1105" s="48">
        <f>VLOOKUP($B1094,[6]Complaints!$A$4:$AJ$39,8,)</f>
        <v>0</v>
      </c>
      <c r="J1105" s="48">
        <f>VLOOKUP($B1094,[7]Complaints!$A$4:$AJ$39,8,)</f>
        <v>0</v>
      </c>
      <c r="K1105" s="48">
        <f>VLOOKUP($B1094,[8]Complaints!$A$4:$AJ$39,8,)</f>
        <v>0</v>
      </c>
      <c r="L1105" s="48">
        <f>VLOOKUP($B1094,[9]Complaints!$A$4:$AJ$39,8,)</f>
        <v>0</v>
      </c>
      <c r="M1105" s="48">
        <f>VLOOKUP($B1094,[10]Complaints!$A$4:$AJ$39,8,)</f>
        <v>0</v>
      </c>
      <c r="N1105" s="48">
        <f>VLOOKUP($B1094,[11]Complaints!$A$4:$AJ$39,8,)</f>
        <v>0</v>
      </c>
      <c r="O1105" s="49">
        <f>VLOOKUP($B1094,[12]Complaints!$A$4:$AJ$39,8,)</f>
        <v>0</v>
      </c>
      <c r="P1105" s="55">
        <f t="shared" ref="P1105:P1106" si="291">SUM(D1105:O1105)</f>
        <v>1</v>
      </c>
      <c r="Q1105" s="50">
        <f>IF(P1105="","",P1105/$P1096)</f>
        <v>0.5</v>
      </c>
      <c r="R1105" s="18"/>
    </row>
    <row r="1106" spans="2:18" ht="15.75" customHeight="1" x14ac:dyDescent="0.2">
      <c r="B1106" s="169"/>
      <c r="C1106" s="31" t="s">
        <v>88</v>
      </c>
      <c r="D1106" s="47">
        <f>VLOOKUP($B1094,[1]Complaints!$A$4:$AJ$39,9,)</f>
        <v>0</v>
      </c>
      <c r="E1106" s="48">
        <f>VLOOKUP($B1094,[2]Complaints!$A$4:$AJ$39,9,)</f>
        <v>0</v>
      </c>
      <c r="F1106" s="48">
        <f>VLOOKUP($B1094,[3]Complaints!$A$4:$AJ$39,9,)</f>
        <v>0</v>
      </c>
      <c r="G1106" s="48">
        <f>VLOOKUP($B1094,[4]Complaints!$A$4:$AJ$39,9,)</f>
        <v>0</v>
      </c>
      <c r="H1106" s="48">
        <f>VLOOKUP($B1094,[5]Complaints!$A$4:$AJ$39,9,)</f>
        <v>0</v>
      </c>
      <c r="I1106" s="48">
        <f>VLOOKUP($B1094,[6]Complaints!$A$4:$AJ$39,9,)</f>
        <v>0</v>
      </c>
      <c r="J1106" s="48">
        <f>VLOOKUP($B1094,[7]Complaints!$A$4:$AJ$39,9,)</f>
        <v>0</v>
      </c>
      <c r="K1106" s="48">
        <f>VLOOKUP($B1094,[8]Complaints!$A$4:$AJ$39,9,)</f>
        <v>0</v>
      </c>
      <c r="L1106" s="48">
        <f>VLOOKUP($B1094,[9]Complaints!$A$4:$AJ$39,9,)</f>
        <v>0</v>
      </c>
      <c r="M1106" s="48">
        <f>VLOOKUP($B1094,[10]Complaints!$A$4:$AJ$39,9,)</f>
        <v>0</v>
      </c>
      <c r="N1106" s="48">
        <f>VLOOKUP($B1094,[11]Complaints!$A$4:$AJ$39,9,)</f>
        <v>0</v>
      </c>
      <c r="O1106" s="49">
        <f>VLOOKUP($B1094,[12]Complaints!$A$4:$AJ$39,9,)</f>
        <v>0</v>
      </c>
      <c r="P1106" s="55">
        <f t="shared" si="291"/>
        <v>0</v>
      </c>
      <c r="Q1106" s="50" t="str">
        <f>IF(P1106=0,"",P1106/$P1096)</f>
        <v/>
      </c>
      <c r="R1106" s="18"/>
    </row>
    <row r="1107" spans="2:18" ht="15.75" customHeight="1" x14ac:dyDescent="0.2">
      <c r="B1107" s="169"/>
      <c r="C1107" s="31" t="s">
        <v>13</v>
      </c>
      <c r="D1107" s="47">
        <f>VLOOKUP($B1094,[1]Complaints!$A$4:$AJ$39,10,)</f>
        <v>0</v>
      </c>
      <c r="E1107" s="48">
        <f>VLOOKUP($B1094,[2]Complaints!$A$4:$AJ$39,10,)</f>
        <v>0</v>
      </c>
      <c r="F1107" s="48">
        <f>VLOOKUP($B1094,[3]Complaints!$A$4:$AJ$39,10,)</f>
        <v>0</v>
      </c>
      <c r="G1107" s="48">
        <f>VLOOKUP($B1094,[4]Complaints!$A$4:$AJ$39,10,)</f>
        <v>0</v>
      </c>
      <c r="H1107" s="48">
        <f>VLOOKUP($B1094,[5]Complaints!$A$4:$AJ$39,10,)</f>
        <v>0</v>
      </c>
      <c r="I1107" s="48">
        <f>VLOOKUP($B1094,[6]Complaints!$A$4:$AJ$39,10,)</f>
        <v>0</v>
      </c>
      <c r="J1107" s="48">
        <f>VLOOKUP($B1094,[7]Complaints!$A$4:$AJ$39,10,)</f>
        <v>0</v>
      </c>
      <c r="K1107" s="48">
        <f>VLOOKUP($B1094,[8]Complaints!$A$4:$AJ$39,10,)</f>
        <v>0</v>
      </c>
      <c r="L1107" s="48">
        <f>VLOOKUP($B1094,[9]Complaints!$A$4:$AJ$39,10,)</f>
        <v>0</v>
      </c>
      <c r="M1107" s="48">
        <f>VLOOKUP($B1094,[10]Complaints!$A$4:$AJ$39,10,)</f>
        <v>0</v>
      </c>
      <c r="N1107" s="48">
        <f>VLOOKUP($B1094,[11]Complaints!$A$4:$AJ$39,10,)</f>
        <v>0</v>
      </c>
      <c r="O1107" s="49">
        <f>VLOOKUP($B1094,[12]Complaints!$A$4:$AJ$39,10,)</f>
        <v>0</v>
      </c>
      <c r="P1107" s="55">
        <f>SUM(D1107:O1107)</f>
        <v>0</v>
      </c>
      <c r="Q1107" s="50" t="str">
        <f>IF(P1107=0,"",P1107/$P1096)</f>
        <v/>
      </c>
      <c r="R1107" s="18"/>
    </row>
    <row r="1108" spans="2:18" ht="15.75" customHeight="1" x14ac:dyDescent="0.2">
      <c r="B1108" s="169"/>
      <c r="C1108" s="31" t="s">
        <v>101</v>
      </c>
      <c r="D1108" s="47">
        <f>VLOOKUP($B1094,[1]Complaints!$A$4:$AJ$39,11,)</f>
        <v>0</v>
      </c>
      <c r="E1108" s="48">
        <f>VLOOKUP($B1094,[2]Complaints!$A$4:$AJ$39,11,)</f>
        <v>0</v>
      </c>
      <c r="F1108" s="48">
        <f>VLOOKUP($B1094,[3]Complaints!$A$4:$AJ$39,11,)</f>
        <v>0</v>
      </c>
      <c r="G1108" s="48">
        <f>VLOOKUP($B1094,[4]Complaints!$A$4:$AJ$39,11,)</f>
        <v>0</v>
      </c>
      <c r="H1108" s="48">
        <f>VLOOKUP($B1094,[5]Complaints!$A$4:$AJ$39,11,)</f>
        <v>0</v>
      </c>
      <c r="I1108" s="48">
        <f>VLOOKUP($B1094,[6]Complaints!$A$4:$AJ$39,11,)</f>
        <v>0</v>
      </c>
      <c r="J1108" s="48">
        <f>VLOOKUP($B1094,[7]Complaints!$A$4:$AJ$39,11,)</f>
        <v>0</v>
      </c>
      <c r="K1108" s="48">
        <f>VLOOKUP($B1094,[8]Complaints!$A$4:$AJ$39,11,)</f>
        <v>0</v>
      </c>
      <c r="L1108" s="48">
        <f>VLOOKUP($B1094,[9]Complaints!$A$4:$AJ$39,11,)</f>
        <v>0</v>
      </c>
      <c r="M1108" s="48">
        <f>VLOOKUP($B1094,[10]Complaints!$A$4:$AJ$39,11,)</f>
        <v>0</v>
      </c>
      <c r="N1108" s="48">
        <f>VLOOKUP($B1094,[11]Complaints!$A$4:$AJ$39,11,)</f>
        <v>0</v>
      </c>
      <c r="O1108" s="49">
        <f>VLOOKUP($B1094,[12]Complaints!$A$4:$AJ$39,11,)</f>
        <v>0</v>
      </c>
      <c r="P1108" s="55">
        <f t="shared" ref="P1108:P1117" si="292">SUM(D1108:O1108)</f>
        <v>0</v>
      </c>
      <c r="Q1108" s="50" t="str">
        <f>IF(P1108=0,"",P1108/$P1096)</f>
        <v/>
      </c>
      <c r="R1108" s="18"/>
    </row>
    <row r="1109" spans="2:18" s="19" customFormat="1" ht="15.75" customHeight="1" x14ac:dyDescent="0.2">
      <c r="B1109" s="169"/>
      <c r="C1109" s="31" t="s">
        <v>93</v>
      </c>
      <c r="D1109" s="47">
        <f>VLOOKUP($B1094,[1]Complaints!$A$4:$AJ$39,12,)</f>
        <v>0</v>
      </c>
      <c r="E1109" s="48">
        <f>VLOOKUP($B1094,[2]Complaints!$A$4:$AJ$39,12,)</f>
        <v>0</v>
      </c>
      <c r="F1109" s="48">
        <f>VLOOKUP($B1094,[3]Complaints!$A$4:$AJ$39,12,)</f>
        <v>0</v>
      </c>
      <c r="G1109" s="48">
        <f>VLOOKUP($B1094,[4]Complaints!$A$4:$AJ$39,12,)</f>
        <v>0</v>
      </c>
      <c r="H1109" s="48">
        <f>VLOOKUP($B1094,[5]Complaints!$A$4:$AJ$39,12,)</f>
        <v>0</v>
      </c>
      <c r="I1109" s="48">
        <f>VLOOKUP($B1094,[6]Complaints!$A$4:$AJ$39,12,)</f>
        <v>0</v>
      </c>
      <c r="J1109" s="48">
        <f>VLOOKUP($B1094,[7]Complaints!$A$4:$AJ$39,12,)</f>
        <v>0</v>
      </c>
      <c r="K1109" s="48">
        <f>VLOOKUP($B1094,[8]Complaints!$A$4:$AJ$39,12,)</f>
        <v>0</v>
      </c>
      <c r="L1109" s="48">
        <f>VLOOKUP($B1094,[9]Complaints!$A$4:$AJ$39,12,)</f>
        <v>0</v>
      </c>
      <c r="M1109" s="48">
        <f>VLOOKUP($B1094,[10]Complaints!$A$4:$AJ$39,12,)</f>
        <v>0</v>
      </c>
      <c r="N1109" s="48">
        <f>VLOOKUP($B1094,[11]Complaints!$A$4:$AJ$39,12,)</f>
        <v>0</v>
      </c>
      <c r="O1109" s="49">
        <f>VLOOKUP($B1094,[12]Complaints!$A$4:$AJ$39,12,)</f>
        <v>0</v>
      </c>
      <c r="P1109" s="55">
        <f t="shared" si="292"/>
        <v>0</v>
      </c>
      <c r="Q1109" s="50" t="str">
        <f>IF(P1109=0,"",P1109/$P1096)</f>
        <v/>
      </c>
    </row>
    <row r="1110" spans="2:18" ht="15.75" customHeight="1" x14ac:dyDescent="0.2">
      <c r="B1110" s="169"/>
      <c r="C1110" s="31" t="s">
        <v>78</v>
      </c>
      <c r="D1110" s="47">
        <f>VLOOKUP($B1094,[1]Complaints!$A$4:$AJ$39,13,)</f>
        <v>0</v>
      </c>
      <c r="E1110" s="48">
        <f>VLOOKUP($B1094,[2]Complaints!$A$4:$AJ$39,13,)</f>
        <v>0</v>
      </c>
      <c r="F1110" s="48">
        <f>VLOOKUP($B1094,[3]Complaints!$A$4:$AJ$39,13,)</f>
        <v>0</v>
      </c>
      <c r="G1110" s="48">
        <f>VLOOKUP($B1094,[4]Complaints!$A$4:$AJ$39,13,)</f>
        <v>0</v>
      </c>
      <c r="H1110" s="48">
        <f>VLOOKUP($B1094,[5]Complaints!$A$4:$AJ$39,13,)</f>
        <v>0</v>
      </c>
      <c r="I1110" s="48">
        <f>VLOOKUP($B1094,[6]Complaints!$A$4:$AJ$39,13,)</f>
        <v>0</v>
      </c>
      <c r="J1110" s="48">
        <f>VLOOKUP($B1094,[7]Complaints!$A$4:$AJ$39,13,)</f>
        <v>0</v>
      </c>
      <c r="K1110" s="48">
        <f>VLOOKUP($B1094,[8]Complaints!$A$4:$AJ$39,13,)</f>
        <v>0</v>
      </c>
      <c r="L1110" s="48">
        <f>VLOOKUP($B1094,[9]Complaints!$A$4:$AJ$39,13,)</f>
        <v>0</v>
      </c>
      <c r="M1110" s="48">
        <f>VLOOKUP($B1094,[10]Complaints!$A$4:$AJ$39,13,)</f>
        <v>0</v>
      </c>
      <c r="N1110" s="48">
        <f>VLOOKUP($B1094,[11]Complaints!$A$4:$AJ$39,13,)</f>
        <v>0</v>
      </c>
      <c r="O1110" s="49">
        <f>VLOOKUP($B1094,[12]Complaints!$A$4:$AJ$39,13,)</f>
        <v>0</v>
      </c>
      <c r="P1110" s="55">
        <f t="shared" si="292"/>
        <v>0</v>
      </c>
      <c r="Q1110" s="50" t="str">
        <f>IF(P1110=0,"",P1110/$P1096)</f>
        <v/>
      </c>
      <c r="R1110" s="18"/>
    </row>
    <row r="1111" spans="2:18" ht="15.75" customHeight="1" x14ac:dyDescent="0.2">
      <c r="B1111" s="169"/>
      <c r="C1111" s="31" t="s">
        <v>92</v>
      </c>
      <c r="D1111" s="47">
        <f>VLOOKUP($B1094,[1]Complaints!$A$4:$AJ$39,14,)</f>
        <v>0</v>
      </c>
      <c r="E1111" s="48">
        <f>VLOOKUP($B1094,[2]Complaints!$A$4:$AJ$39,14,)</f>
        <v>0</v>
      </c>
      <c r="F1111" s="48">
        <f>VLOOKUP($B1094,[3]Complaints!$A$4:$AJ$39,14,)</f>
        <v>0</v>
      </c>
      <c r="G1111" s="48">
        <f>VLOOKUP($B1094,[4]Complaints!$A$4:$AJ$39,14,)</f>
        <v>0</v>
      </c>
      <c r="H1111" s="48">
        <f>VLOOKUP($B1094,[5]Complaints!$A$4:$AJ$39,14,)</f>
        <v>0</v>
      </c>
      <c r="I1111" s="48">
        <f>VLOOKUP($B1094,[6]Complaints!$A$4:$AJ$39,14,)</f>
        <v>0</v>
      </c>
      <c r="J1111" s="48">
        <f>VLOOKUP($B1094,[7]Complaints!$A$4:$AJ$39,14,)</f>
        <v>0</v>
      </c>
      <c r="K1111" s="48">
        <f>VLOOKUP($B1094,[8]Complaints!$A$4:$AJ$39,14,)</f>
        <v>0</v>
      </c>
      <c r="L1111" s="48">
        <f>VLOOKUP($B1094,[9]Complaints!$A$4:$AJ$39,14,)</f>
        <v>0</v>
      </c>
      <c r="M1111" s="48">
        <f>VLOOKUP($B1094,[10]Complaints!$A$4:$AJ$39,14,)</f>
        <v>0</v>
      </c>
      <c r="N1111" s="48">
        <f>VLOOKUP($B1094,[11]Complaints!$A$4:$AJ$39,14,)</f>
        <v>0</v>
      </c>
      <c r="O1111" s="49">
        <f>VLOOKUP($B1094,[12]Complaints!$A$4:$AJ$39,14,)</f>
        <v>0</v>
      </c>
      <c r="P1111" s="55">
        <f t="shared" si="292"/>
        <v>0</v>
      </c>
      <c r="Q1111" s="50" t="str">
        <f>IF(P1111=0,"",P1111/$P1096)</f>
        <v/>
      </c>
      <c r="R1111" s="18"/>
    </row>
    <row r="1112" spans="2:18" ht="15.75" customHeight="1" x14ac:dyDescent="0.2">
      <c r="B1112" s="169"/>
      <c r="C1112" s="31" t="s">
        <v>91</v>
      </c>
      <c r="D1112" s="47">
        <f>VLOOKUP($B1094,[1]Complaints!$A$4:$AJ$39,15,)</f>
        <v>1</v>
      </c>
      <c r="E1112" s="48">
        <f>VLOOKUP($B1094,[2]Complaints!$A$4:$AJ$39,15,)</f>
        <v>0</v>
      </c>
      <c r="F1112" s="48">
        <f>VLOOKUP($B1094,[3]Complaints!$A$4:$AJ$39,15,)</f>
        <v>0</v>
      </c>
      <c r="G1112" s="48">
        <f>VLOOKUP($B1094,[4]Complaints!$A$4:$AJ$39,15,)</f>
        <v>0</v>
      </c>
      <c r="H1112" s="48">
        <f>VLOOKUP($B1094,[5]Complaints!$A$4:$AJ$39,15,)</f>
        <v>0</v>
      </c>
      <c r="I1112" s="48">
        <f>VLOOKUP($B1094,[6]Complaints!$A$4:$AJ$39,15,)</f>
        <v>0</v>
      </c>
      <c r="J1112" s="48">
        <f>VLOOKUP($B1094,[7]Complaints!$A$4:$AJ$39,15,)</f>
        <v>0</v>
      </c>
      <c r="K1112" s="48">
        <f>VLOOKUP($B1094,[8]Complaints!$A$4:$AJ$39,15,)</f>
        <v>0</v>
      </c>
      <c r="L1112" s="48">
        <f>VLOOKUP($B1094,[9]Complaints!$A$4:$AJ$39,15,)</f>
        <v>0</v>
      </c>
      <c r="M1112" s="48">
        <f>VLOOKUP($B1094,[10]Complaints!$A$4:$AJ$39,15,)</f>
        <v>0</v>
      </c>
      <c r="N1112" s="48">
        <f>VLOOKUP($B1094,[11]Complaints!$A$4:$AJ$39,15,)</f>
        <v>0</v>
      </c>
      <c r="O1112" s="49">
        <f>VLOOKUP($B1094,[12]Complaints!$A$4:$AJ$39,15,)</f>
        <v>0</v>
      </c>
      <c r="P1112" s="55">
        <f t="shared" si="292"/>
        <v>1</v>
      </c>
      <c r="Q1112" s="50">
        <f>IF(P1112=0,"",P1112/$P1096)</f>
        <v>0.5</v>
      </c>
      <c r="R1112" s="18"/>
    </row>
    <row r="1113" spans="2:18" ht="15.75" customHeight="1" x14ac:dyDescent="0.2">
      <c r="B1113" s="169"/>
      <c r="C1113" s="31" t="s">
        <v>79</v>
      </c>
      <c r="D1113" s="47">
        <f>VLOOKUP($B1094,[1]Complaints!$A$4:$AJ$39,16,)</f>
        <v>0</v>
      </c>
      <c r="E1113" s="48">
        <f>VLOOKUP($B1094,[2]Complaints!$A$4:$AJ$39,16,)</f>
        <v>0</v>
      </c>
      <c r="F1113" s="48">
        <f>VLOOKUP($B1094,[3]Complaints!$A$4:$AJ$39,16,)</f>
        <v>0</v>
      </c>
      <c r="G1113" s="48">
        <f>VLOOKUP($B1094,[4]Complaints!$A$4:$AJ$39,16,)</f>
        <v>0</v>
      </c>
      <c r="H1113" s="48">
        <f>VLOOKUP($B1094,[5]Complaints!$A$4:$AJ$39,16,)</f>
        <v>0</v>
      </c>
      <c r="I1113" s="48">
        <f>VLOOKUP($B1094,[6]Complaints!$A$4:$AJ$39,16,)</f>
        <v>0</v>
      </c>
      <c r="J1113" s="48">
        <f>VLOOKUP($B1094,[7]Complaints!$A$4:$AJ$39,16,)</f>
        <v>0</v>
      </c>
      <c r="K1113" s="48">
        <f>VLOOKUP($B1094,[8]Complaints!$A$4:$AJ$39,16,)</f>
        <v>0</v>
      </c>
      <c r="L1113" s="48">
        <f>VLOOKUP($B1094,[9]Complaints!$A$4:$AJ$39,16,)</f>
        <v>0</v>
      </c>
      <c r="M1113" s="48">
        <f>VLOOKUP($B1094,[10]Complaints!$A$4:$AJ$39,16,)</f>
        <v>0</v>
      </c>
      <c r="N1113" s="48">
        <f>VLOOKUP($B1094,[11]Complaints!$A$4:$AJ$39,16,)</f>
        <v>0</v>
      </c>
      <c r="O1113" s="49">
        <f>VLOOKUP($B1094,[12]Complaints!$A$4:$AJ$39,16,)</f>
        <v>0</v>
      </c>
      <c r="P1113" s="55">
        <f t="shared" si="292"/>
        <v>0</v>
      </c>
      <c r="Q1113" s="50" t="str">
        <f>IF(P1113=0,"",P1113/$P1096)</f>
        <v/>
      </c>
      <c r="R1113" s="18"/>
    </row>
    <row r="1114" spans="2:18" ht="15.75" customHeight="1" x14ac:dyDescent="0.2">
      <c r="B1114" s="169"/>
      <c r="C1114" s="31" t="s">
        <v>80</v>
      </c>
      <c r="D1114" s="47">
        <f>VLOOKUP($B1094,[1]Complaints!$A$4:$AJ$39,17,)</f>
        <v>0</v>
      </c>
      <c r="E1114" s="48">
        <f>VLOOKUP($B1094,[2]Complaints!$A$4:$AJ$39,17,)</f>
        <v>0</v>
      </c>
      <c r="F1114" s="48">
        <f>VLOOKUP($B1094,[3]Complaints!$A$4:$AJ$39,17,)</f>
        <v>0</v>
      </c>
      <c r="G1114" s="48">
        <f>VLOOKUP($B1094,[4]Complaints!$A$4:$AJ$39,17,)</f>
        <v>0</v>
      </c>
      <c r="H1114" s="48">
        <f>VLOOKUP($B1094,[5]Complaints!$A$4:$AJ$39,17,)</f>
        <v>0</v>
      </c>
      <c r="I1114" s="48">
        <f>VLOOKUP($B1094,[6]Complaints!$A$4:$AJ$39,17,)</f>
        <v>0</v>
      </c>
      <c r="J1114" s="48">
        <f>VLOOKUP($B1094,[7]Complaints!$A$4:$AJ$39,17,)</f>
        <v>0</v>
      </c>
      <c r="K1114" s="48">
        <f>VLOOKUP($B1094,[8]Complaints!$A$4:$AJ$39,17,)</f>
        <v>0</v>
      </c>
      <c r="L1114" s="48">
        <f>VLOOKUP($B1094,[9]Complaints!$A$4:$AJ$39,17,)</f>
        <v>0</v>
      </c>
      <c r="M1114" s="48">
        <f>VLOOKUP($B1094,[10]Complaints!$A$4:$AJ$39,17,)</f>
        <v>0</v>
      </c>
      <c r="N1114" s="48">
        <f>VLOOKUP($B1094,[11]Complaints!$A$4:$AJ$39,17,)</f>
        <v>0</v>
      </c>
      <c r="O1114" s="49">
        <f>VLOOKUP($B1094,[12]Complaints!$A$4:$AJ$39,17,)</f>
        <v>0</v>
      </c>
      <c r="P1114" s="55">
        <f t="shared" si="292"/>
        <v>0</v>
      </c>
      <c r="Q1114" s="50" t="str">
        <f>IF(P1114=0,"",P1114/$P1096)</f>
        <v/>
      </c>
      <c r="R1114" s="18"/>
    </row>
    <row r="1115" spans="2:18" ht="15.75" customHeight="1" x14ac:dyDescent="0.2">
      <c r="B1115" s="169"/>
      <c r="C1115" s="31" t="s">
        <v>81</v>
      </c>
      <c r="D1115" s="47">
        <f>VLOOKUP($B1094,[1]Complaints!$A$4:$AJ$39,18,)</f>
        <v>0</v>
      </c>
      <c r="E1115" s="48">
        <f>VLOOKUP($B1094,[2]Complaints!$A$4:$AJ$39,18,)</f>
        <v>0</v>
      </c>
      <c r="F1115" s="48">
        <f>VLOOKUP($B1094,[3]Complaints!$A$4:$AJ$39,18,)</f>
        <v>0</v>
      </c>
      <c r="G1115" s="48">
        <f>VLOOKUP($B1094,[4]Complaints!$A$4:$AJ$39,18,)</f>
        <v>0</v>
      </c>
      <c r="H1115" s="48">
        <f>VLOOKUP($B1094,[5]Complaints!$A$4:$AJ$39,18,)</f>
        <v>0</v>
      </c>
      <c r="I1115" s="48">
        <f>VLOOKUP($B1094,[6]Complaints!$A$4:$AJ$39,18,)</f>
        <v>0</v>
      </c>
      <c r="J1115" s="48">
        <f>VLOOKUP($B1094,[7]Complaints!$A$4:$AJ$39,18,)</f>
        <v>0</v>
      </c>
      <c r="K1115" s="48">
        <f>VLOOKUP($B1094,[8]Complaints!$A$4:$AJ$39,18,)</f>
        <v>0</v>
      </c>
      <c r="L1115" s="48">
        <f>VLOOKUP($B1094,[9]Complaints!$A$4:$AJ$39,18,)</f>
        <v>0</v>
      </c>
      <c r="M1115" s="48">
        <f>VLOOKUP($B1094,[10]Complaints!$A$4:$AJ$39,18,)</f>
        <v>0</v>
      </c>
      <c r="N1115" s="48">
        <f>VLOOKUP($B1094,[11]Complaints!$A$4:$AJ$39,18,)</f>
        <v>0</v>
      </c>
      <c r="O1115" s="49">
        <f>VLOOKUP($B1094,[12]Complaints!$A$4:$AJ$39,18,)</f>
        <v>0</v>
      </c>
      <c r="P1115" s="55">
        <f t="shared" si="292"/>
        <v>0</v>
      </c>
      <c r="Q1115" s="50" t="str">
        <f>IF(P1115=0,"",P1115/$P1096)</f>
        <v/>
      </c>
      <c r="R1115" s="18"/>
    </row>
    <row r="1116" spans="2:18" ht="15.75" customHeight="1" x14ac:dyDescent="0.2">
      <c r="B1116" s="169"/>
      <c r="C1116" s="31" t="s">
        <v>82</v>
      </c>
      <c r="D1116" s="47">
        <f>VLOOKUP($B1094,[1]Complaints!$A$4:$AJ$39,19,)</f>
        <v>0</v>
      </c>
      <c r="E1116" s="48">
        <f>VLOOKUP($B1094,[2]Complaints!$A$4:$AJ$39,19,)</f>
        <v>0</v>
      </c>
      <c r="F1116" s="48">
        <f>VLOOKUP($B1094,[3]Complaints!$A$4:$AJ$39,19,)</f>
        <v>0</v>
      </c>
      <c r="G1116" s="48">
        <f>VLOOKUP($B1094,[4]Complaints!$A$4:$AJ$39,19,)</f>
        <v>0</v>
      </c>
      <c r="H1116" s="48">
        <f>VLOOKUP($B1094,[5]Complaints!$A$4:$AJ$39,19,)</f>
        <v>0</v>
      </c>
      <c r="I1116" s="48">
        <f>VLOOKUP($B1094,[6]Complaints!$A$4:$AJ$39,19,)</f>
        <v>0</v>
      </c>
      <c r="J1116" s="48">
        <f>VLOOKUP($B1094,[7]Complaints!$A$4:$AJ$39,19,)</f>
        <v>0</v>
      </c>
      <c r="K1116" s="48">
        <f>VLOOKUP($B1094,[8]Complaints!$A$4:$AJ$39,19,)</f>
        <v>0</v>
      </c>
      <c r="L1116" s="48">
        <f>VLOOKUP($B1094,[9]Complaints!$A$4:$AJ$39,19,)</f>
        <v>0</v>
      </c>
      <c r="M1116" s="48">
        <f>VLOOKUP($B1094,[10]Complaints!$A$4:$AJ$39,19,)</f>
        <v>0</v>
      </c>
      <c r="N1116" s="48">
        <f>VLOOKUP($B1094,[11]Complaints!$A$4:$AJ$39,19,)</f>
        <v>0</v>
      </c>
      <c r="O1116" s="49">
        <f>VLOOKUP($B1094,[12]Complaints!$A$4:$AJ$39,19,)</f>
        <v>0</v>
      </c>
      <c r="P1116" s="55">
        <f t="shared" si="292"/>
        <v>0</v>
      </c>
      <c r="Q1116" s="50" t="str">
        <f>IF(P1116=0,"",P1116/$P1096)</f>
        <v/>
      </c>
      <c r="R1116" s="18"/>
    </row>
    <row r="1117" spans="2:18" ht="15.75" customHeight="1" thickBot="1" x14ac:dyDescent="0.25">
      <c r="B1117" s="170"/>
      <c r="C1117" s="31" t="s">
        <v>83</v>
      </c>
      <c r="D1117" s="47">
        <f>VLOOKUP($B1094,[1]Complaints!$A$4:$AJ$39,20,)</f>
        <v>0</v>
      </c>
      <c r="E1117" s="48">
        <f>VLOOKUP($B1094,[2]Complaints!$A$4:$AJ$39,20,)</f>
        <v>0</v>
      </c>
      <c r="F1117" s="48">
        <f>VLOOKUP($B1094,[3]Complaints!$A$4:$AJ$39,20,)</f>
        <v>0</v>
      </c>
      <c r="G1117" s="48">
        <f>VLOOKUP($B1094,[4]Complaints!$A$4:$AJ$39,20,)</f>
        <v>0</v>
      </c>
      <c r="H1117" s="48">
        <f>VLOOKUP($B1094,[5]Complaints!$A$4:$AJ$39,20,)</f>
        <v>0</v>
      </c>
      <c r="I1117" s="48">
        <f>VLOOKUP($B1094,[6]Complaints!$A$4:$AJ$39,20,)</f>
        <v>0</v>
      </c>
      <c r="J1117" s="48">
        <f>VLOOKUP($B1094,[7]Complaints!$A$4:$AJ$39,20,)</f>
        <v>0</v>
      </c>
      <c r="K1117" s="48">
        <f>VLOOKUP($B1094,[8]Complaints!$A$4:$AJ$39,20,)</f>
        <v>0</v>
      </c>
      <c r="L1117" s="48">
        <f>VLOOKUP($B1094,[9]Complaints!$A$4:$AJ$39,20,)</f>
        <v>0</v>
      </c>
      <c r="M1117" s="48">
        <f>VLOOKUP($B1094,[10]Complaints!$A$4:$AJ$39,20,)</f>
        <v>0</v>
      </c>
      <c r="N1117" s="48">
        <f>VLOOKUP($B1094,[11]Complaints!$A$4:$AJ$39,20,)</f>
        <v>0</v>
      </c>
      <c r="O1117" s="49">
        <f>VLOOKUP($B1094,[12]Complaints!$A$4:$AJ$39,20,)</f>
        <v>0</v>
      </c>
      <c r="P1117" s="55">
        <f t="shared" si="292"/>
        <v>0</v>
      </c>
      <c r="Q1117" s="50" t="str">
        <f>IF(P1117=0,"",P1117/$P1096)</f>
        <v/>
      </c>
      <c r="R1117" s="18"/>
    </row>
    <row r="1118" spans="2:18" ht="15.75" customHeight="1" x14ac:dyDescent="0.2">
      <c r="B1118" s="144" t="s">
        <v>90</v>
      </c>
      <c r="C1118" s="37" t="s">
        <v>118</v>
      </c>
      <c r="D1118" s="62">
        <f>VLOOKUP($B1094,[1]Complaints!$A$4:$AJ$39,21,)</f>
        <v>0</v>
      </c>
      <c r="E1118" s="63">
        <f>VLOOKUP($B1094,[2]Complaints!$A$4:$AJ$39,21,)</f>
        <v>1</v>
      </c>
      <c r="F1118" s="63">
        <f>VLOOKUP($B1094,[3]Complaints!$A$4:$AJ$39,21,)</f>
        <v>0</v>
      </c>
      <c r="G1118" s="63">
        <f>VLOOKUP($B1094,[4]Complaints!$A$4:$AJ$39,21,)</f>
        <v>0</v>
      </c>
      <c r="H1118" s="63">
        <f>VLOOKUP($B1094,[5]Complaints!$A$4:$AJ$39,21,)</f>
        <v>0</v>
      </c>
      <c r="I1118" s="63">
        <f>VLOOKUP($B1094,[6]Complaints!$A$4:$AJ$39,21,)</f>
        <v>0</v>
      </c>
      <c r="J1118" s="63">
        <f>VLOOKUP($B1094,[7]Complaints!$A$4:$AJ$39,21,)</f>
        <v>0</v>
      </c>
      <c r="K1118" s="63">
        <f>VLOOKUP($B1094,[8]Complaints!$A$4:$AJ$39,21,)</f>
        <v>0</v>
      </c>
      <c r="L1118" s="63">
        <f>VLOOKUP($B1094,[9]Complaints!$A$4:$AJ$39,21,)</f>
        <v>0</v>
      </c>
      <c r="M1118" s="63">
        <f>VLOOKUP($B1094,[10]Complaints!$A$4:$AJ$39,21,)</f>
        <v>0</v>
      </c>
      <c r="N1118" s="63">
        <f>VLOOKUP($B1094,[11]Complaints!$A$4:$AJ$39,21,)</f>
        <v>0</v>
      </c>
      <c r="O1118" s="64">
        <f>VLOOKUP($B1094,[12]Complaints!$A$4:$AJ$39,21,)</f>
        <v>0</v>
      </c>
      <c r="P1118" s="65">
        <f>SUM(D1118:O1118)</f>
        <v>1</v>
      </c>
      <c r="Q1118" s="46">
        <f>IF(P1118=0,"",P1118/$P1102)</f>
        <v>0.5</v>
      </c>
      <c r="R1118" s="18"/>
    </row>
    <row r="1119" spans="2:18" ht="15.75" customHeight="1" x14ac:dyDescent="0.2">
      <c r="B1119" s="145"/>
      <c r="C1119" s="38" t="s">
        <v>77</v>
      </c>
      <c r="D1119" s="66">
        <f>VLOOKUP($B1094,[1]Complaints!$A$4:$AJ$39,22,)</f>
        <v>0</v>
      </c>
      <c r="E1119" s="67">
        <f>VLOOKUP($B1094,[2]Complaints!$A$4:$AJ$39,22,)</f>
        <v>0</v>
      </c>
      <c r="F1119" s="67">
        <f>VLOOKUP($B1094,[3]Complaints!$A$4:$AJ$39,22,)</f>
        <v>0</v>
      </c>
      <c r="G1119" s="67">
        <f>VLOOKUP($B1094,[4]Complaints!$A$4:$AJ$39,22,)</f>
        <v>0</v>
      </c>
      <c r="H1119" s="67">
        <f>VLOOKUP($B1094,[5]Complaints!$A$4:$AJ$39,22,)</f>
        <v>0</v>
      </c>
      <c r="I1119" s="67">
        <f>VLOOKUP($B1094,[6]Complaints!$A$4:$AJ$39,22,)</f>
        <v>0</v>
      </c>
      <c r="J1119" s="67">
        <f>VLOOKUP($B1094,[7]Complaints!$A$4:$AJ$39,22,)</f>
        <v>0</v>
      </c>
      <c r="K1119" s="67">
        <f>VLOOKUP($B1094,[8]Complaints!$A$4:$AJ$39,22,)</f>
        <v>0</v>
      </c>
      <c r="L1119" s="67">
        <f>VLOOKUP($B1094,[9]Complaints!$A$4:$AJ$39,22,)</f>
        <v>0</v>
      </c>
      <c r="M1119" s="67">
        <f>VLOOKUP($B1094,[10]Complaints!$A$4:$AJ$39,22,)</f>
        <v>0</v>
      </c>
      <c r="N1119" s="67">
        <f>VLOOKUP($B1094,[11]Complaints!$A$4:$AJ$39,22,)</f>
        <v>0</v>
      </c>
      <c r="O1119" s="68">
        <f>VLOOKUP($B1094,[12]Complaints!$A$4:$AJ$39,22,)</f>
        <v>0</v>
      </c>
      <c r="P1119" s="69">
        <f t="shared" ref="P1119:P1133" si="293">SUM(D1119:O1119)</f>
        <v>0</v>
      </c>
      <c r="Q1119" s="70" t="str">
        <f>IF(P1119=0,"",P1119/$P1102)</f>
        <v/>
      </c>
      <c r="R1119" s="18"/>
    </row>
    <row r="1120" spans="2:18" ht="15.75" customHeight="1" x14ac:dyDescent="0.2">
      <c r="B1120" s="145"/>
      <c r="C1120" s="38" t="s">
        <v>108</v>
      </c>
      <c r="D1120" s="66">
        <f>VLOOKUP($B1094,[1]Complaints!$A$4:$AJ$39,23,)</f>
        <v>0</v>
      </c>
      <c r="E1120" s="67">
        <f>VLOOKUP($B1094,[2]Complaints!$A$4:$AJ$39,23,)</f>
        <v>1</v>
      </c>
      <c r="F1120" s="67">
        <f>VLOOKUP($B1094,[3]Complaints!$A$4:$AJ$39,23,)</f>
        <v>0</v>
      </c>
      <c r="G1120" s="67">
        <f>VLOOKUP($B1094,[4]Complaints!$A$4:$AJ$39,23,)</f>
        <v>0</v>
      </c>
      <c r="H1120" s="67">
        <f>VLOOKUP($B1094,[5]Complaints!$A$4:$AJ$39,23,)</f>
        <v>0</v>
      </c>
      <c r="I1120" s="67">
        <f>VLOOKUP($B1094,[6]Complaints!$A$4:$AJ$39,23,)</f>
        <v>0</v>
      </c>
      <c r="J1120" s="67">
        <f>VLOOKUP($B1094,[7]Complaints!$A$4:$AJ$39,23,)</f>
        <v>0</v>
      </c>
      <c r="K1120" s="67">
        <f>VLOOKUP($B1094,[8]Complaints!$A$4:$AJ$39,23,)</f>
        <v>0</v>
      </c>
      <c r="L1120" s="67">
        <f>VLOOKUP($B1094,[9]Complaints!$A$4:$AJ$39,23,)</f>
        <v>0</v>
      </c>
      <c r="M1120" s="67">
        <f>VLOOKUP($B1094,[10]Complaints!$A$4:$AJ$39,23,)</f>
        <v>0</v>
      </c>
      <c r="N1120" s="67">
        <f>VLOOKUP($B1094,[11]Complaints!$A$4:$AJ$39,23,)</f>
        <v>0</v>
      </c>
      <c r="O1120" s="68">
        <f>VLOOKUP($B1094,[12]Complaints!$A$4:$AJ$39,23,)</f>
        <v>0</v>
      </c>
      <c r="P1120" s="69">
        <f t="shared" si="293"/>
        <v>1</v>
      </c>
      <c r="Q1120" s="70">
        <f>IF(P1120=0,"",P1120/$P1102)</f>
        <v>0.5</v>
      </c>
      <c r="R1120" s="18"/>
    </row>
    <row r="1121" spans="1:19" ht="15.75" customHeight="1" x14ac:dyDescent="0.2">
      <c r="B1121" s="145"/>
      <c r="C1121" s="38" t="s">
        <v>88</v>
      </c>
      <c r="D1121" s="66">
        <f>VLOOKUP($B1094,[1]Complaints!$A$4:$AJ$39,24,)</f>
        <v>0</v>
      </c>
      <c r="E1121" s="67">
        <f>VLOOKUP($B1094,[2]Complaints!$A$4:$AJ$39,24,)</f>
        <v>0</v>
      </c>
      <c r="F1121" s="67">
        <f>VLOOKUP($B1094,[3]Complaints!$A$4:$AJ$39,24,)</f>
        <v>0</v>
      </c>
      <c r="G1121" s="67">
        <f>VLOOKUP($B1094,[4]Complaints!$A$4:$AJ$39,24,)</f>
        <v>0</v>
      </c>
      <c r="H1121" s="67">
        <f>VLOOKUP($B1094,[5]Complaints!$A$4:$AJ$39,24,)</f>
        <v>0</v>
      </c>
      <c r="I1121" s="67">
        <f>VLOOKUP($B1094,[6]Complaints!$A$4:$AJ$39,24,)</f>
        <v>0</v>
      </c>
      <c r="J1121" s="67">
        <f>VLOOKUP($B1094,[7]Complaints!$A$4:$AJ$39,24,)</f>
        <v>0</v>
      </c>
      <c r="K1121" s="67">
        <f>VLOOKUP($B1094,[8]Complaints!$A$4:$AJ$39,24,)</f>
        <v>0</v>
      </c>
      <c r="L1121" s="67">
        <f>VLOOKUP($B1094,[9]Complaints!$A$4:$AJ$39,24,)</f>
        <v>0</v>
      </c>
      <c r="M1121" s="67">
        <f>VLOOKUP($B1094,[10]Complaints!$A$4:$AJ$39,24,)</f>
        <v>0</v>
      </c>
      <c r="N1121" s="67">
        <f>VLOOKUP($B1094,[11]Complaints!$A$4:$AJ$39,24,)</f>
        <v>0</v>
      </c>
      <c r="O1121" s="68">
        <f>VLOOKUP($B1094,[12]Complaints!$A$4:$AJ$39,24,)</f>
        <v>0</v>
      </c>
      <c r="P1121" s="69">
        <f t="shared" si="293"/>
        <v>0</v>
      </c>
      <c r="Q1121" s="70" t="str">
        <f>IF(P1121=0,"",P1121/$P1102)</f>
        <v/>
      </c>
      <c r="R1121" s="18"/>
    </row>
    <row r="1122" spans="1:19" ht="15.75" customHeight="1" x14ac:dyDescent="0.2">
      <c r="B1122" s="145"/>
      <c r="C1122" s="38" t="s">
        <v>109</v>
      </c>
      <c r="D1122" s="66">
        <f>VLOOKUP($B1094,[1]Complaints!$A$4:$AJ$39,25,)</f>
        <v>0</v>
      </c>
      <c r="E1122" s="67">
        <f>VLOOKUP($B1094,[2]Complaints!$A$4:$AJ$39,25,)</f>
        <v>0</v>
      </c>
      <c r="F1122" s="67">
        <f>VLOOKUP($B1094,[3]Complaints!$A$4:$AJ$39,25,)</f>
        <v>0</v>
      </c>
      <c r="G1122" s="67">
        <f>VLOOKUP($B1094,[4]Complaints!$A$4:$AJ$39,25,)</f>
        <v>0</v>
      </c>
      <c r="H1122" s="67">
        <f>VLOOKUP($B1094,[5]Complaints!$A$4:$AJ$39,25,)</f>
        <v>0</v>
      </c>
      <c r="I1122" s="67">
        <f>VLOOKUP($B1094,[6]Complaints!$A$4:$AJ$39,25,)</f>
        <v>0</v>
      </c>
      <c r="J1122" s="67">
        <f>VLOOKUP($B1094,[7]Complaints!$A$4:$AJ$39,25,)</f>
        <v>0</v>
      </c>
      <c r="K1122" s="67">
        <f>VLOOKUP($B1094,[8]Complaints!$A$4:$AJ$39,25,)</f>
        <v>0</v>
      </c>
      <c r="L1122" s="67">
        <f>VLOOKUP($B1094,[9]Complaints!$A$4:$AJ$39,25,)</f>
        <v>0</v>
      </c>
      <c r="M1122" s="67">
        <f>VLOOKUP($B1094,[10]Complaints!$A$4:$AJ$39,25,)</f>
        <v>0</v>
      </c>
      <c r="N1122" s="67">
        <f>VLOOKUP($B1094,[11]Complaints!$A$4:$AJ$39,25,)</f>
        <v>0</v>
      </c>
      <c r="O1122" s="68">
        <f>VLOOKUP($B1094,[12]Complaints!$A$4:$AJ$39,25,)</f>
        <v>0</v>
      </c>
      <c r="P1122" s="69">
        <f t="shared" si="293"/>
        <v>0</v>
      </c>
      <c r="Q1122" s="70" t="str">
        <f>IF(P1122=0,"",P1122/$P1102)</f>
        <v/>
      </c>
      <c r="R1122" s="18"/>
    </row>
    <row r="1123" spans="1:19" ht="15.75" customHeight="1" x14ac:dyDescent="0.2">
      <c r="A1123" s="21"/>
      <c r="B1123" s="145"/>
      <c r="C1123" s="38" t="s">
        <v>110</v>
      </c>
      <c r="D1123" s="66">
        <f>VLOOKUP($B1094,[1]Complaints!$A$4:$AJ$39,26,)</f>
        <v>0</v>
      </c>
      <c r="E1123" s="67">
        <f>VLOOKUP($B1094,[2]Complaints!$A$4:$AJ$39,26,)</f>
        <v>0</v>
      </c>
      <c r="F1123" s="67">
        <f>VLOOKUP($B1094,[3]Complaints!$A$4:$AJ$39,26,)</f>
        <v>0</v>
      </c>
      <c r="G1123" s="67">
        <f>VLOOKUP($B1094,[4]Complaints!$A$4:$AJ$39,26,)</f>
        <v>0</v>
      </c>
      <c r="H1123" s="67">
        <f>VLOOKUP($B1094,[5]Complaints!$A$4:$AJ$39,26,)</f>
        <v>0</v>
      </c>
      <c r="I1123" s="67">
        <f>VLOOKUP($B1094,[6]Complaints!$A$4:$AJ$39,26,)</f>
        <v>0</v>
      </c>
      <c r="J1123" s="67">
        <f>VLOOKUP($B1094,[7]Complaints!$A$4:$AJ$39,26,)</f>
        <v>0</v>
      </c>
      <c r="K1123" s="67">
        <f>VLOOKUP($B1094,[8]Complaints!$A$4:$AJ$39,26,)</f>
        <v>0</v>
      </c>
      <c r="L1123" s="67">
        <f>VLOOKUP($B1094,[9]Complaints!$A$4:$AJ$39,26,)</f>
        <v>0</v>
      </c>
      <c r="M1123" s="67">
        <f>VLOOKUP($B1094,[10]Complaints!$A$4:$AJ$39,26,)</f>
        <v>0</v>
      </c>
      <c r="N1123" s="67">
        <f>VLOOKUP($B1094,[11]Complaints!$A$4:$AJ$39,26,)</f>
        <v>0</v>
      </c>
      <c r="O1123" s="68">
        <f>VLOOKUP($B1094,[12]Complaints!$A$4:$AJ$39,26,)</f>
        <v>0</v>
      </c>
      <c r="P1123" s="69">
        <f t="shared" si="293"/>
        <v>0</v>
      </c>
      <c r="Q1123" s="70" t="str">
        <f>IF(P1123=0,"",P1123/$P1102)</f>
        <v/>
      </c>
      <c r="R1123" s="18"/>
    </row>
    <row r="1124" spans="1:19" s="21" customFormat="1" ht="15.75" customHeight="1" x14ac:dyDescent="0.2">
      <c r="B1124" s="145"/>
      <c r="C1124" s="39" t="s">
        <v>107</v>
      </c>
      <c r="D1124" s="71">
        <f>VLOOKUP($B1094,[1]Complaints!$A$4:$AJ$39,27,)</f>
        <v>0</v>
      </c>
      <c r="E1124" s="72">
        <f>VLOOKUP($B1094,[2]Complaints!$A$4:$AJ$39,27,)</f>
        <v>0</v>
      </c>
      <c r="F1124" s="72">
        <f>VLOOKUP($B1094,[3]Complaints!$A$4:$AJ$39,27,)</f>
        <v>0</v>
      </c>
      <c r="G1124" s="72">
        <f>VLOOKUP($B1094,[4]Complaints!$A$4:$AJ$39,27,)</f>
        <v>0</v>
      </c>
      <c r="H1124" s="72">
        <f>VLOOKUP($B1094,[5]Complaints!$A$4:$AJ$39,27,)</f>
        <v>0</v>
      </c>
      <c r="I1124" s="72">
        <f>VLOOKUP($B1094,[6]Complaints!$A$4:$AJ$39,27,)</f>
        <v>0</v>
      </c>
      <c r="J1124" s="72">
        <f>VLOOKUP($B1094,[7]Complaints!$A$4:$AJ$39,27,)</f>
        <v>0</v>
      </c>
      <c r="K1124" s="72">
        <f>VLOOKUP($B1094,[8]Complaints!$A$4:$AJ$39,27,)</f>
        <v>0</v>
      </c>
      <c r="L1124" s="72">
        <f>VLOOKUP($B1094,[9]Complaints!$A$4:$AJ$39,27,)</f>
        <v>0</v>
      </c>
      <c r="M1124" s="72">
        <f>VLOOKUP($B1094,[10]Complaints!$A$4:$AJ$39,27,)</f>
        <v>0</v>
      </c>
      <c r="N1124" s="72">
        <f>VLOOKUP($B1094,[11]Complaints!$A$4:$AJ$39,27,)</f>
        <v>0</v>
      </c>
      <c r="O1124" s="73">
        <f>VLOOKUP($B1094,[12]Complaints!$A$4:$AJ$39,27,)</f>
        <v>0</v>
      </c>
      <c r="P1124" s="69">
        <f t="shared" si="293"/>
        <v>0</v>
      </c>
      <c r="Q1124" s="70" t="str">
        <f>IF(P1124=0,"",P1124/$P1102)</f>
        <v/>
      </c>
      <c r="S1124" s="18"/>
    </row>
    <row r="1125" spans="1:19" ht="15.75" customHeight="1" x14ac:dyDescent="0.2">
      <c r="B1125" s="145"/>
      <c r="C1125" s="39" t="s">
        <v>87</v>
      </c>
      <c r="D1125" s="71">
        <f>VLOOKUP($B1094,[1]Complaints!$A$4:$AJ$39,28,)</f>
        <v>0</v>
      </c>
      <c r="E1125" s="72">
        <f>VLOOKUP($B1094,[2]Complaints!$A$4:$AJ$39,28,)</f>
        <v>0</v>
      </c>
      <c r="F1125" s="72">
        <f>VLOOKUP($B1094,[3]Complaints!$A$4:$AJ$39,28,)</f>
        <v>0</v>
      </c>
      <c r="G1125" s="72">
        <f>VLOOKUP($B1094,[4]Complaints!$A$4:$AJ$39,28,)</f>
        <v>0</v>
      </c>
      <c r="H1125" s="72">
        <f>VLOOKUP($B1094,[5]Complaints!$A$4:$AJ$39,28,)</f>
        <v>0</v>
      </c>
      <c r="I1125" s="72">
        <f>VLOOKUP($B1094,[6]Complaints!$A$4:$AJ$39,28,)</f>
        <v>0</v>
      </c>
      <c r="J1125" s="72">
        <f>VLOOKUP($B1094,[7]Complaints!$A$4:$AJ$39,28,)</f>
        <v>0</v>
      </c>
      <c r="K1125" s="72">
        <f>VLOOKUP($B1094,[8]Complaints!$A$4:$AJ$39,28,)</f>
        <v>0</v>
      </c>
      <c r="L1125" s="72">
        <f>VLOOKUP($B1094,[9]Complaints!$A$4:$AJ$39,28,)</f>
        <v>0</v>
      </c>
      <c r="M1125" s="72">
        <f>VLOOKUP($B1094,[10]Complaints!$A$4:$AJ$39,28,)</f>
        <v>0</v>
      </c>
      <c r="N1125" s="72">
        <f>VLOOKUP($B1094,[11]Complaints!$A$4:$AJ$39,28,)</f>
        <v>0</v>
      </c>
      <c r="O1125" s="73">
        <f>VLOOKUP($B1094,[12]Complaints!$A$4:$AJ$39,28,)</f>
        <v>0</v>
      </c>
      <c r="P1125" s="69">
        <f t="shared" si="293"/>
        <v>0</v>
      </c>
      <c r="Q1125" s="70" t="str">
        <f>IF(P1125=0,"",P1125/$P1102)</f>
        <v/>
      </c>
      <c r="R1125" s="18"/>
    </row>
    <row r="1126" spans="1:19" ht="15.75" customHeight="1" x14ac:dyDescent="0.2">
      <c r="B1126" s="145"/>
      <c r="C1126" s="38" t="s">
        <v>111</v>
      </c>
      <c r="D1126" s="66">
        <f>VLOOKUP($B1094,[1]Complaints!$A$4:$AJ$39,29,)</f>
        <v>0</v>
      </c>
      <c r="E1126" s="67">
        <f>VLOOKUP($B1094,[2]Complaints!$A$4:$AJ$39,29,)</f>
        <v>0</v>
      </c>
      <c r="F1126" s="67">
        <f>VLOOKUP($B1094,[3]Complaints!$A$4:$AJ$39,29,)</f>
        <v>0</v>
      </c>
      <c r="G1126" s="67">
        <f>VLOOKUP($B1094,[4]Complaints!$A$4:$AJ$39,29,)</f>
        <v>0</v>
      </c>
      <c r="H1126" s="67">
        <f>VLOOKUP($B1094,[5]Complaints!$A$4:$AJ$39,29,)</f>
        <v>0</v>
      </c>
      <c r="I1126" s="67">
        <f>VLOOKUP($B1094,[6]Complaints!$A$4:$AJ$39,29,)</f>
        <v>0</v>
      </c>
      <c r="J1126" s="67">
        <f>VLOOKUP($B1094,[7]Complaints!$A$4:$AJ$39,29,)</f>
        <v>0</v>
      </c>
      <c r="K1126" s="67">
        <f>VLOOKUP($B1094,[8]Complaints!$A$4:$AJ$39,29,)</f>
        <v>0</v>
      </c>
      <c r="L1126" s="67">
        <f>VLOOKUP($B1094,[9]Complaints!$A$4:$AJ$39,29,)</f>
        <v>0</v>
      </c>
      <c r="M1126" s="67">
        <f>VLOOKUP($B1094,[10]Complaints!$A$4:$AJ$39,29,)</f>
        <v>0</v>
      </c>
      <c r="N1126" s="67">
        <f>VLOOKUP($B1094,[11]Complaints!$A$4:$AJ$39,29,)</f>
        <v>0</v>
      </c>
      <c r="O1126" s="68">
        <f>VLOOKUP($B1094,[12]Complaints!$A$4:$AJ$39,29,)</f>
        <v>0</v>
      </c>
      <c r="P1126" s="69">
        <f t="shared" si="293"/>
        <v>0</v>
      </c>
      <c r="Q1126" s="70" t="str">
        <f>IF(P1126=0,"",P1126/$P1102)</f>
        <v/>
      </c>
      <c r="R1126" s="18"/>
    </row>
    <row r="1127" spans="1:19" ht="15.75" customHeight="1" x14ac:dyDescent="0.2">
      <c r="B1127" s="145"/>
      <c r="C1127" s="38" t="s">
        <v>112</v>
      </c>
      <c r="D1127" s="66">
        <f>VLOOKUP($B1094,[1]Complaints!$A$4:$AJ$39,30,)</f>
        <v>0</v>
      </c>
      <c r="E1127" s="67">
        <f>VLOOKUP($B1094,[2]Complaints!$A$4:$AJ$39,30,)</f>
        <v>0</v>
      </c>
      <c r="F1127" s="67">
        <f>VLOOKUP($B1094,[3]Complaints!$A$4:$AJ$39,30,)</f>
        <v>0</v>
      </c>
      <c r="G1127" s="67">
        <f>VLOOKUP($B1094,[4]Complaints!$A$4:$AJ$39,30,)</f>
        <v>0</v>
      </c>
      <c r="H1127" s="67">
        <f>VLOOKUP($B1094,[5]Complaints!$A$4:$AJ$39,30,)</f>
        <v>0</v>
      </c>
      <c r="I1127" s="67">
        <f>VLOOKUP($B1094,[6]Complaints!$A$4:$AJ$39,30,)</f>
        <v>0</v>
      </c>
      <c r="J1127" s="67">
        <f>VLOOKUP($B1094,[7]Complaints!$A$4:$AJ$39,30,)</f>
        <v>0</v>
      </c>
      <c r="K1127" s="67">
        <f>VLOOKUP($B1094,[8]Complaints!$A$4:$AJ$39,30,)</f>
        <v>0</v>
      </c>
      <c r="L1127" s="67">
        <f>VLOOKUP($B1094,[9]Complaints!$A$4:$AJ$39,30,)</f>
        <v>0</v>
      </c>
      <c r="M1127" s="67">
        <f>VLOOKUP($B1094,[10]Complaints!$A$4:$AJ$39,30,)</f>
        <v>0</v>
      </c>
      <c r="N1127" s="67">
        <f>VLOOKUP($B1094,[11]Complaints!$A$4:$AJ$39,30,)</f>
        <v>0</v>
      </c>
      <c r="O1127" s="68">
        <f>VLOOKUP($B1094,[12]Complaints!$A$4:$AJ$39,30,)</f>
        <v>0</v>
      </c>
      <c r="P1127" s="69">
        <f t="shared" si="293"/>
        <v>0</v>
      </c>
      <c r="Q1127" s="70" t="str">
        <f>IF(P1127=0,"",P1127/$P1102)</f>
        <v/>
      </c>
      <c r="R1127" s="18"/>
    </row>
    <row r="1128" spans="1:19" ht="15.75" customHeight="1" x14ac:dyDescent="0.2">
      <c r="B1128" s="146"/>
      <c r="C1128" s="40" t="s">
        <v>119</v>
      </c>
      <c r="D1128" s="74">
        <f>VLOOKUP($B1094,[1]Complaints!$A$4:$AJ$39,31,)</f>
        <v>1</v>
      </c>
      <c r="E1128" s="75">
        <f>VLOOKUP($B1094,[2]Complaints!$A$4:$AJ$39,31,)</f>
        <v>0</v>
      </c>
      <c r="F1128" s="75">
        <f>VLOOKUP($B1094,[3]Complaints!$A$4:$AJ$39,31,)</f>
        <v>0</v>
      </c>
      <c r="G1128" s="75">
        <f>VLOOKUP($B1094,[4]Complaints!$A$4:$AJ$39,31,)</f>
        <v>0</v>
      </c>
      <c r="H1128" s="75">
        <f>VLOOKUP($B1094,[5]Complaints!$A$4:$AJ$39,31,)</f>
        <v>0</v>
      </c>
      <c r="I1128" s="75">
        <f>VLOOKUP($B1094,[6]Complaints!$A$4:$AJ$39,31,)</f>
        <v>0</v>
      </c>
      <c r="J1128" s="75">
        <f>VLOOKUP($B1094,[7]Complaints!$A$4:$AJ$39,31,)</f>
        <v>0</v>
      </c>
      <c r="K1128" s="75">
        <f>VLOOKUP($B1094,[8]Complaints!$A$4:$AJ$39,31,)</f>
        <v>0</v>
      </c>
      <c r="L1128" s="75">
        <f>VLOOKUP($B1094,[9]Complaints!$A$4:$AJ$39,31,)</f>
        <v>0</v>
      </c>
      <c r="M1128" s="75">
        <f>VLOOKUP($B1094,[10]Complaints!$A$4:$AJ$39,31,)</f>
        <v>0</v>
      </c>
      <c r="N1128" s="75">
        <f>VLOOKUP($B1094,[11]Complaints!$A$4:$AJ$39,31,)</f>
        <v>0</v>
      </c>
      <c r="O1128" s="76">
        <f>VLOOKUP($B1094,[12]Complaints!$A$4:$AJ$39,31,)</f>
        <v>0</v>
      </c>
      <c r="P1128" s="77">
        <f t="shared" si="293"/>
        <v>1</v>
      </c>
      <c r="Q1128" s="50">
        <f>IF(P1128=0,"",P1128/$P1102)</f>
        <v>0.5</v>
      </c>
      <c r="R1128" s="18"/>
    </row>
    <row r="1129" spans="1:19" ht="15.75" customHeight="1" x14ac:dyDescent="0.2">
      <c r="B1129" s="146"/>
      <c r="C1129" s="38" t="s">
        <v>113</v>
      </c>
      <c r="D1129" s="66">
        <f>VLOOKUP($B1094,[1]Complaints!$A$4:$AJ$39,32,)</f>
        <v>1</v>
      </c>
      <c r="E1129" s="67">
        <f>VLOOKUP($B1094,[2]Complaints!$A$4:$AJ$39,32,)</f>
        <v>0</v>
      </c>
      <c r="F1129" s="67">
        <f>VLOOKUP($B1094,[3]Complaints!$A$4:$AJ$39,32,)</f>
        <v>0</v>
      </c>
      <c r="G1129" s="67">
        <f>VLOOKUP($B1094,[4]Complaints!$A$4:$AJ$39,32,)</f>
        <v>0</v>
      </c>
      <c r="H1129" s="67">
        <f>VLOOKUP($B1094,[5]Complaints!$A$4:$AJ$39,32,)</f>
        <v>0</v>
      </c>
      <c r="I1129" s="67">
        <f>VLOOKUP($B1094,[6]Complaints!$A$4:$AJ$39,32,)</f>
        <v>0</v>
      </c>
      <c r="J1129" s="67">
        <f>VLOOKUP($B1094,[7]Complaints!$A$4:$AJ$39,32,)</f>
        <v>0</v>
      </c>
      <c r="K1129" s="67">
        <f>VLOOKUP($B1094,[8]Complaints!$A$4:$AJ$39,32,)</f>
        <v>0</v>
      </c>
      <c r="L1129" s="67">
        <f>VLOOKUP($B1094,[9]Complaints!$A$4:$AJ$39,32,)</f>
        <v>0</v>
      </c>
      <c r="M1129" s="67">
        <f>VLOOKUP($B1094,[10]Complaints!$A$4:$AJ$39,32,)</f>
        <v>0</v>
      </c>
      <c r="N1129" s="67">
        <f>VLOOKUP($B1094,[11]Complaints!$A$4:$AJ$39,32,)</f>
        <v>0</v>
      </c>
      <c r="O1129" s="68">
        <f>VLOOKUP($B1094,[12]Complaints!$A$4:$AJ$39,32,)</f>
        <v>0</v>
      </c>
      <c r="P1129" s="69">
        <f t="shared" si="293"/>
        <v>1</v>
      </c>
      <c r="Q1129" s="70">
        <f>IF(P1129=0,"",P1129/$P1102)</f>
        <v>0.5</v>
      </c>
      <c r="R1129" s="18"/>
    </row>
    <row r="1130" spans="1:19" ht="15.75" customHeight="1" x14ac:dyDescent="0.2">
      <c r="B1130" s="146"/>
      <c r="C1130" s="38" t="s">
        <v>114</v>
      </c>
      <c r="D1130" s="66">
        <f>VLOOKUP($B1094,[1]Complaints!$A$4:$AJ$39,33,)</f>
        <v>0</v>
      </c>
      <c r="E1130" s="67">
        <f>VLOOKUP($B1094,[2]Complaints!$A$4:$AJ$39,33,)</f>
        <v>0</v>
      </c>
      <c r="F1130" s="67">
        <f>VLOOKUP($B1094,[3]Complaints!$A$4:$AJ$39,33,)</f>
        <v>0</v>
      </c>
      <c r="G1130" s="67">
        <f>VLOOKUP($B1094,[4]Complaints!$A$4:$AJ$39,33,)</f>
        <v>0</v>
      </c>
      <c r="H1130" s="67">
        <f>VLOOKUP($B1094,[5]Complaints!$A$4:$AJ$39,33,)</f>
        <v>0</v>
      </c>
      <c r="I1130" s="67">
        <f>VLOOKUP($B1094,[6]Complaints!$A$4:$AJ$39,33,)</f>
        <v>0</v>
      </c>
      <c r="J1130" s="67">
        <f>VLOOKUP($B1094,[7]Complaints!$A$4:$AJ$39,33,)</f>
        <v>0</v>
      </c>
      <c r="K1130" s="67">
        <f>VLOOKUP($B1094,[8]Complaints!$A$4:$AJ$39,33,)</f>
        <v>0</v>
      </c>
      <c r="L1130" s="67">
        <f>VLOOKUP($B1094,[9]Complaints!$A$4:$AJ$39,33,)</f>
        <v>0</v>
      </c>
      <c r="M1130" s="67">
        <f>VLOOKUP($B1094,[10]Complaints!$A$4:$AJ$39,33,)</f>
        <v>0</v>
      </c>
      <c r="N1130" s="67">
        <f>VLOOKUP($B1094,[11]Complaints!$A$4:$AJ$39,33,)</f>
        <v>0</v>
      </c>
      <c r="O1130" s="68">
        <f>VLOOKUP($B1094,[12]Complaints!$A$4:$AJ$39,33,)</f>
        <v>0</v>
      </c>
      <c r="P1130" s="69">
        <f t="shared" si="293"/>
        <v>0</v>
      </c>
      <c r="Q1130" s="70" t="str">
        <f>IF(P1130=0,"",P1130/$P1102)</f>
        <v/>
      </c>
      <c r="R1130" s="18"/>
    </row>
    <row r="1131" spans="1:19" ht="15.75" customHeight="1" x14ac:dyDescent="0.2">
      <c r="B1131" s="146"/>
      <c r="C1131" s="38" t="s">
        <v>115</v>
      </c>
      <c r="D1131" s="66">
        <f>VLOOKUP($B1094,[1]Complaints!$A$4:$AJ$39,34,)</f>
        <v>0</v>
      </c>
      <c r="E1131" s="67">
        <f>VLOOKUP($B1094,[2]Complaints!$A$4:$AJ$39,34,)</f>
        <v>0</v>
      </c>
      <c r="F1131" s="67">
        <f>VLOOKUP($B1094,[3]Complaints!$A$4:$AJ$39,34,)</f>
        <v>0</v>
      </c>
      <c r="G1131" s="67">
        <f>VLOOKUP($B1094,[4]Complaints!$A$4:$AJ$39,34,)</f>
        <v>0</v>
      </c>
      <c r="H1131" s="67">
        <f>VLOOKUP($B1094,[5]Complaints!$A$4:$AJ$39,34,)</f>
        <v>0</v>
      </c>
      <c r="I1131" s="67">
        <f>VLOOKUP($B1094,[6]Complaints!$A$4:$AJ$39,34,)</f>
        <v>0</v>
      </c>
      <c r="J1131" s="67">
        <f>VLOOKUP($B1094,[7]Complaints!$A$4:$AJ$39,34,)</f>
        <v>0</v>
      </c>
      <c r="K1131" s="67">
        <f>VLOOKUP($B1094,[8]Complaints!$A$4:$AJ$39,34,)</f>
        <v>0</v>
      </c>
      <c r="L1131" s="67">
        <f>VLOOKUP($B1094,[9]Complaints!$A$4:$AJ$39,34,)</f>
        <v>0</v>
      </c>
      <c r="M1131" s="67">
        <f>VLOOKUP($B1094,[10]Complaints!$A$4:$AJ$39,34,)</f>
        <v>0</v>
      </c>
      <c r="N1131" s="67">
        <f>VLOOKUP($B1094,[11]Complaints!$A$4:$AJ$39,34,)</f>
        <v>0</v>
      </c>
      <c r="O1131" s="68">
        <f>VLOOKUP($B1094,[12]Complaints!$A$4:$AJ$39,34,)</f>
        <v>0</v>
      </c>
      <c r="P1131" s="69">
        <f t="shared" si="293"/>
        <v>0</v>
      </c>
      <c r="Q1131" s="70" t="str">
        <f>IF(P1131=0,"",P1131/$P1102)</f>
        <v/>
      </c>
      <c r="R1131" s="18"/>
    </row>
    <row r="1132" spans="1:19" ht="15.75" customHeight="1" x14ac:dyDescent="0.2">
      <c r="B1132" s="146"/>
      <c r="C1132" s="38" t="s">
        <v>116</v>
      </c>
      <c r="D1132" s="66">
        <f>VLOOKUP($B1094,[1]Complaints!$A$4:$AJ$39,35,)</f>
        <v>0</v>
      </c>
      <c r="E1132" s="67">
        <f>VLOOKUP($B1094,[2]Complaints!$A$4:$AJ$39,35,)</f>
        <v>0</v>
      </c>
      <c r="F1132" s="67">
        <f>VLOOKUP($B1094,[3]Complaints!$A$4:$AJ$39,35,)</f>
        <v>0</v>
      </c>
      <c r="G1132" s="67">
        <f>VLOOKUP($B1094,[4]Complaints!$A$4:$AJ$39,35,)</f>
        <v>0</v>
      </c>
      <c r="H1132" s="67">
        <f>VLOOKUP($B1094,[5]Complaints!$A$4:$AJ$39,35,)</f>
        <v>0</v>
      </c>
      <c r="I1132" s="67">
        <f>VLOOKUP($B1094,[6]Complaints!$A$4:$AJ$39,35,)</f>
        <v>0</v>
      </c>
      <c r="J1132" s="67">
        <f>VLOOKUP($B1094,[7]Complaints!$A$4:$AJ$39,35,)</f>
        <v>0</v>
      </c>
      <c r="K1132" s="67">
        <f>VLOOKUP($B1094,[8]Complaints!$A$4:$AJ$39,35,)</f>
        <v>0</v>
      </c>
      <c r="L1132" s="67">
        <f>VLOOKUP($B1094,[9]Complaints!$A$4:$AJ$39,35,)</f>
        <v>0</v>
      </c>
      <c r="M1132" s="67">
        <f>VLOOKUP($B1094,[10]Complaints!$A$4:$AJ$39,35,)</f>
        <v>0</v>
      </c>
      <c r="N1132" s="67">
        <f>VLOOKUP($B1094,[11]Complaints!$A$4:$AJ$39,35,)</f>
        <v>0</v>
      </c>
      <c r="O1132" s="68">
        <f>VLOOKUP($B1094,[12]Complaints!$A$4:$AJ$39,35,)</f>
        <v>0</v>
      </c>
      <c r="P1132" s="69">
        <f t="shared" si="293"/>
        <v>0</v>
      </c>
      <c r="Q1132" s="70" t="str">
        <f>IF(P1132=0,"",P1132/$P1102)</f>
        <v/>
      </c>
      <c r="R1132" s="18"/>
    </row>
    <row r="1133" spans="1:19" ht="15.75" customHeight="1" thickBot="1" x14ac:dyDescent="0.25">
      <c r="B1133" s="147"/>
      <c r="C1133" s="41" t="s">
        <v>117</v>
      </c>
      <c r="D1133" s="78">
        <f>VLOOKUP($B1094,[1]Complaints!$A$4:$AJ$39,36,)</f>
        <v>0</v>
      </c>
      <c r="E1133" s="79">
        <f>VLOOKUP($B1094,[2]Complaints!$A$4:$AJ$39,36,)</f>
        <v>0</v>
      </c>
      <c r="F1133" s="79">
        <f>VLOOKUP($B1094,[3]Complaints!$A$4:$AJ$39,36,)</f>
        <v>0</v>
      </c>
      <c r="G1133" s="79">
        <f>VLOOKUP($B1094,[4]Complaints!$A$4:$AJ$39,36,)</f>
        <v>0</v>
      </c>
      <c r="H1133" s="79">
        <f>VLOOKUP($B1094,[5]Complaints!$A$4:$AJ$39,36,)</f>
        <v>0</v>
      </c>
      <c r="I1133" s="79">
        <f>VLOOKUP($B1094,[6]Complaints!$A$4:$AJ$39,36,)</f>
        <v>0</v>
      </c>
      <c r="J1133" s="79">
        <f>VLOOKUP($B1094,[7]Complaints!$A$4:$AJ$39,36,)</f>
        <v>0</v>
      </c>
      <c r="K1133" s="79">
        <f>VLOOKUP($B1094,[8]Complaints!$A$4:$AJ$39,36,)</f>
        <v>0</v>
      </c>
      <c r="L1133" s="79">
        <f>VLOOKUP($B1094,[9]Complaints!$A$4:$AJ$39,36,)</f>
        <v>0</v>
      </c>
      <c r="M1133" s="79">
        <f>VLOOKUP($B1094,[10]Complaints!$A$4:$AJ$39,36,)</f>
        <v>0</v>
      </c>
      <c r="N1133" s="79">
        <f>VLOOKUP($B1094,[11]Complaints!$A$4:$AJ$39,36,)</f>
        <v>0</v>
      </c>
      <c r="O1133" s="80">
        <f>VLOOKUP($B1094,[12]Complaints!$A$4:$AJ$39,36,)</f>
        <v>0</v>
      </c>
      <c r="P1133" s="81">
        <f t="shared" si="293"/>
        <v>0</v>
      </c>
      <c r="Q1133" s="82" t="str">
        <f>IF(P1133=0,"",P1133/$P1102)</f>
        <v/>
      </c>
      <c r="R1133" s="18"/>
    </row>
    <row r="1134" spans="1:19" ht="15.75" customHeight="1" thickBot="1" x14ac:dyDescent="0.25">
      <c r="R1134" s="18"/>
    </row>
    <row r="1135" spans="1:19" ht="15.75" customHeight="1" x14ac:dyDescent="0.25">
      <c r="B1135" s="158" t="s">
        <v>33</v>
      </c>
      <c r="C1135" s="159"/>
      <c r="D1135" s="32" t="s">
        <v>0</v>
      </c>
      <c r="E1135" s="20" t="s">
        <v>1</v>
      </c>
      <c r="F1135" s="20" t="s">
        <v>2</v>
      </c>
      <c r="G1135" s="20" t="s">
        <v>3</v>
      </c>
      <c r="H1135" s="20" t="s">
        <v>4</v>
      </c>
      <c r="I1135" s="20" t="s">
        <v>5</v>
      </c>
      <c r="J1135" s="20" t="s">
        <v>6</v>
      </c>
      <c r="K1135" s="20" t="s">
        <v>7</v>
      </c>
      <c r="L1135" s="20" t="s">
        <v>8</v>
      </c>
      <c r="M1135" s="20" t="s">
        <v>9</v>
      </c>
      <c r="N1135" s="20" t="s">
        <v>10</v>
      </c>
      <c r="O1135" s="33" t="s">
        <v>11</v>
      </c>
      <c r="P1135" s="35" t="s">
        <v>12</v>
      </c>
      <c r="Q1135" s="160" t="s">
        <v>104</v>
      </c>
      <c r="R1135" s="18"/>
    </row>
    <row r="1136" spans="1:19" ht="15.75" customHeight="1" thickBot="1" x14ac:dyDescent="0.3">
      <c r="B1136" s="162" t="s">
        <v>50</v>
      </c>
      <c r="C1136" s="163"/>
      <c r="D1136" s="34">
        <v>2020</v>
      </c>
      <c r="E1136" s="34">
        <v>2020</v>
      </c>
      <c r="F1136" s="34">
        <v>2020</v>
      </c>
      <c r="G1136" s="34">
        <v>2020</v>
      </c>
      <c r="H1136" s="34">
        <v>2020</v>
      </c>
      <c r="I1136" s="34">
        <v>2020</v>
      </c>
      <c r="J1136" s="34">
        <v>2020</v>
      </c>
      <c r="K1136" s="34">
        <v>2020</v>
      </c>
      <c r="L1136" s="34">
        <v>2020</v>
      </c>
      <c r="M1136" s="25">
        <v>2021</v>
      </c>
      <c r="N1136" s="25">
        <v>2021</v>
      </c>
      <c r="O1136" s="25">
        <v>2021</v>
      </c>
      <c r="P1136" s="36" t="s">
        <v>122</v>
      </c>
      <c r="Q1136" s="161"/>
      <c r="R1136" s="18"/>
    </row>
    <row r="1137" spans="2:18" ht="12.75" customHeight="1" thickBot="1" x14ac:dyDescent="0.25">
      <c r="B1137" s="164" t="s">
        <v>38</v>
      </c>
      <c r="C1137" s="165"/>
      <c r="D1137" s="42">
        <f>VLOOKUP($B1136,[1]Complaints!$A$4:$AJ$39,2,)</f>
        <v>405</v>
      </c>
      <c r="E1137" s="43">
        <f>VLOOKUP($B1136,[2]Complaints!$A$4:$AJ$39,2,)</f>
        <v>588</v>
      </c>
      <c r="F1137" s="43">
        <f>VLOOKUP($B1136,[3]Complaints!$A$4:$AJ$39,2)</f>
        <v>983</v>
      </c>
      <c r="G1137" s="43">
        <f>VLOOKUP($B1136,[4]Complaints!$A$4:$AJ$39,2)</f>
        <v>1593</v>
      </c>
      <c r="H1137" s="43">
        <f>VLOOKUP($B1136,[5]Complaints!$A$4:$AJ$39,2)</f>
        <v>2006</v>
      </c>
      <c r="I1137" s="43">
        <f>VLOOKUP($B1136,[6]Complaints!$A$4:$AJ$39,2)</f>
        <v>2244</v>
      </c>
      <c r="J1137" s="43">
        <f>VLOOKUP($B1136,[7]Complaints!$A$4:$AJ$39,2)</f>
        <v>2360</v>
      </c>
      <c r="K1137" s="43">
        <f>VLOOKUP($B1136,[8]Complaints!$A$4:$AJ$39,2)</f>
        <v>2360</v>
      </c>
      <c r="L1137" s="43">
        <f>VLOOKUP($B1136,[9]Complaints!$A$4:$AJ$39,2)</f>
        <v>2203</v>
      </c>
      <c r="M1137" s="43">
        <f>VLOOKUP($B1136,[10]Complaints!$A$4:$AJ$39,2)</f>
        <v>1661</v>
      </c>
      <c r="N1137" s="43">
        <f>VLOOKUP($B1136,[11]Complaints!$A$4:$AJ$39,2)</f>
        <v>0</v>
      </c>
      <c r="O1137" s="44">
        <f>VLOOKUP($B1136,[12]Complaints!$A$4:$AJ$39,2)</f>
        <v>0</v>
      </c>
      <c r="P1137" s="45">
        <f>SUM(D1137:O1137)</f>
        <v>16403</v>
      </c>
      <c r="Q1137" s="46"/>
      <c r="R1137" s="18"/>
    </row>
    <row r="1138" spans="2:18" ht="15.75" customHeight="1" x14ac:dyDescent="0.2">
      <c r="B1138" s="166" t="s">
        <v>94</v>
      </c>
      <c r="C1138" s="167"/>
      <c r="D1138" s="47">
        <f>VLOOKUP($B1136,[1]Complaints!$A$4:$AF$39,3,)</f>
        <v>0</v>
      </c>
      <c r="E1138" s="48">
        <f>VLOOKUP($B1136,[2]Complaints!$A$4:$AF$39,3,)</f>
        <v>1</v>
      </c>
      <c r="F1138" s="48">
        <f>VLOOKUP($B1136,[3]Complaints!$A$4:$AG$39,3,)</f>
        <v>0</v>
      </c>
      <c r="G1138" s="48">
        <f>VLOOKUP($B1136,[4]Complaints!$A$4:$AG$39,3,)</f>
        <v>1</v>
      </c>
      <c r="H1138" s="48">
        <f>VLOOKUP($B1136,[5]Complaints!$A$4:$AG$39,3,)</f>
        <v>0</v>
      </c>
      <c r="I1138" s="48">
        <f>VLOOKUP($B1136,[6]Complaints!$A$4:$AG$39,3,)</f>
        <v>4</v>
      </c>
      <c r="J1138" s="48">
        <f>VLOOKUP($B1136,[7]Complaints!$A$4:$AG$39,3,)</f>
        <v>2</v>
      </c>
      <c r="K1138" s="48">
        <f>VLOOKUP($B1136,[8]Complaints!$A$4:$AG$39,3,)</f>
        <v>2</v>
      </c>
      <c r="L1138" s="48">
        <f>VLOOKUP($B1136,[9]Complaints!$A$4:$AG$39,3,)</f>
        <v>3</v>
      </c>
      <c r="M1138" s="48">
        <f>VLOOKUP($B1136,[10]Complaints!$A$4:$AG$39,3,)</f>
        <v>0</v>
      </c>
      <c r="N1138" s="48">
        <f>VLOOKUP($B1136,[11]Complaints!$A$4:$AG$39,3,)</f>
        <v>0</v>
      </c>
      <c r="O1138" s="49">
        <f>VLOOKUP($B1136,[12]Complaints!$A$4:$AG$39,3,)</f>
        <v>0</v>
      </c>
      <c r="P1138" s="45">
        <f>SUM(D1138:O1138)</f>
        <v>13</v>
      </c>
      <c r="Q1138" s="50"/>
      <c r="R1138" s="18"/>
    </row>
    <row r="1139" spans="2:18" ht="15.75" customHeight="1" x14ac:dyDescent="0.2">
      <c r="B1139" s="26"/>
      <c r="C1139" s="28" t="s">
        <v>102</v>
      </c>
      <c r="D1139" s="51">
        <f>IF(D1137=0,"",D1138/D1137)</f>
        <v>0</v>
      </c>
      <c r="E1139" s="52">
        <f t="shared" ref="E1139:O1139" si="294">IF(E1137=0,"",E1138/E1137)</f>
        <v>1.7006802721088435E-3</v>
      </c>
      <c r="F1139" s="52">
        <f t="shared" si="294"/>
        <v>0</v>
      </c>
      <c r="G1139" s="52">
        <f t="shared" si="294"/>
        <v>6.2774639045825491E-4</v>
      </c>
      <c r="H1139" s="52">
        <f t="shared" si="294"/>
        <v>0</v>
      </c>
      <c r="I1139" s="52">
        <f t="shared" si="294"/>
        <v>1.7825311942959001E-3</v>
      </c>
      <c r="J1139" s="52">
        <f t="shared" si="294"/>
        <v>8.4745762711864404E-4</v>
      </c>
      <c r="K1139" s="52">
        <f t="shared" si="294"/>
        <v>8.4745762711864404E-4</v>
      </c>
      <c r="L1139" s="52">
        <f t="shared" si="294"/>
        <v>1.3617793917385383E-3</v>
      </c>
      <c r="M1139" s="52">
        <f t="shared" si="294"/>
        <v>0</v>
      </c>
      <c r="N1139" s="52" t="str">
        <f t="shared" si="294"/>
        <v/>
      </c>
      <c r="O1139" s="53" t="str">
        <f t="shared" si="294"/>
        <v/>
      </c>
      <c r="P1139" s="54">
        <f>IF(P1138="","",P1138/P1137)</f>
        <v>7.9253795037493137E-4</v>
      </c>
      <c r="Q1139" s="50"/>
      <c r="R1139" s="18"/>
    </row>
    <row r="1140" spans="2:18" s="21" customFormat="1" ht="15.75" customHeight="1" x14ac:dyDescent="0.2">
      <c r="B1140" s="155" t="s">
        <v>95</v>
      </c>
      <c r="C1140" s="156"/>
      <c r="D1140" s="47">
        <f>VLOOKUP($B1136,[1]Complaints!$A$4:$AF$39,4,)</f>
        <v>0</v>
      </c>
      <c r="E1140" s="48">
        <f>VLOOKUP($B1136,[2]Complaints!$A$4:$AF$39,4,)</f>
        <v>1</v>
      </c>
      <c r="F1140" s="48">
        <f>VLOOKUP($B1136,[3]Complaints!$A$4:$AG$39,4,)</f>
        <v>0</v>
      </c>
      <c r="G1140" s="48">
        <f>VLOOKUP($B1136,[4]Complaints!$A$4:$AG$39,4,)</f>
        <v>0</v>
      </c>
      <c r="H1140" s="48">
        <f>VLOOKUP($B1136,[5]Complaints!$A$4:$AG$39,4,)</f>
        <v>0</v>
      </c>
      <c r="I1140" s="48">
        <f>VLOOKUP($B1136,[6]Complaints!$A$4:$AG$39,4,)</f>
        <v>4</v>
      </c>
      <c r="J1140" s="48">
        <f>VLOOKUP($B1136,[7]Complaints!$A$4:$AG$39,4,)</f>
        <v>0</v>
      </c>
      <c r="K1140" s="48">
        <f>VLOOKUP($B1136,[8]Complaints!$A$4:$AG$39,4,)</f>
        <v>0</v>
      </c>
      <c r="L1140" s="48">
        <f>VLOOKUP($B1136,[9]Complaints!$A$4:$AG$39,4,)</f>
        <v>1</v>
      </c>
      <c r="M1140" s="48">
        <f>VLOOKUP($B1136,[10]Complaints!$A$4:$AG$39,4,)</f>
        <v>0</v>
      </c>
      <c r="N1140" s="48">
        <f>VLOOKUP($B1136,[11]Complaints!$A$4:$AG$39,4,)</f>
        <v>0</v>
      </c>
      <c r="O1140" s="49">
        <f>VLOOKUP($B1136,[12]Complaints!$A$4:$AG$39,4,)</f>
        <v>0</v>
      </c>
      <c r="P1140" s="55">
        <f t="shared" ref="P1140" si="295">SUM(D1140:O1140)</f>
        <v>6</v>
      </c>
      <c r="Q1140" s="50"/>
    </row>
    <row r="1141" spans="2:18" ht="15.75" customHeight="1" x14ac:dyDescent="0.2">
      <c r="B1141" s="26"/>
      <c r="C1141" s="28" t="s">
        <v>98</v>
      </c>
      <c r="D1141" s="51">
        <f>IF(D1137=0,"",D1140/D1137)</f>
        <v>0</v>
      </c>
      <c r="E1141" s="52">
        <f t="shared" ref="E1141:O1141" si="296">IF(E1137=0,"",E1140/E1137)</f>
        <v>1.7006802721088435E-3</v>
      </c>
      <c r="F1141" s="52">
        <f t="shared" si="296"/>
        <v>0</v>
      </c>
      <c r="G1141" s="52">
        <f t="shared" si="296"/>
        <v>0</v>
      </c>
      <c r="H1141" s="52">
        <f t="shared" si="296"/>
        <v>0</v>
      </c>
      <c r="I1141" s="52">
        <f t="shared" si="296"/>
        <v>1.7825311942959001E-3</v>
      </c>
      <c r="J1141" s="52">
        <f t="shared" si="296"/>
        <v>0</v>
      </c>
      <c r="K1141" s="52">
        <f t="shared" si="296"/>
        <v>0</v>
      </c>
      <c r="L1141" s="52">
        <f t="shared" si="296"/>
        <v>4.5392646391284613E-4</v>
      </c>
      <c r="M1141" s="52">
        <f t="shared" si="296"/>
        <v>0</v>
      </c>
      <c r="N1141" s="52" t="str">
        <f t="shared" si="296"/>
        <v/>
      </c>
      <c r="O1141" s="53" t="str">
        <f t="shared" si="296"/>
        <v/>
      </c>
      <c r="P1141" s="54">
        <f>IF(P1140="","",P1140/P1137)</f>
        <v>3.657867463268914E-4</v>
      </c>
      <c r="Q1141" s="50"/>
      <c r="R1141" s="18"/>
    </row>
    <row r="1142" spans="2:18" ht="15.75" customHeight="1" x14ac:dyDescent="0.2">
      <c r="B1142" s="155" t="s">
        <v>96</v>
      </c>
      <c r="C1142" s="156"/>
      <c r="D1142" s="47">
        <f>VLOOKUP($B1136,[1]Complaints!$A$4:$AF$39,5,)</f>
        <v>0</v>
      </c>
      <c r="E1142" s="48">
        <f>VLOOKUP($B1136,[2]Complaints!$A$4:$AF$39,5,)</f>
        <v>0</v>
      </c>
      <c r="F1142" s="48">
        <f>VLOOKUP($B1136,[3]Complaints!$A$4:$AG$39,5,)</f>
        <v>0</v>
      </c>
      <c r="G1142" s="48">
        <f>VLOOKUP($B1136,[4]Complaints!$A$4:$AG$39,5,)</f>
        <v>1</v>
      </c>
      <c r="H1142" s="48">
        <f>VLOOKUP($B1136,[5]Complaints!$A$4:$AG$39,5,)</f>
        <v>0</v>
      </c>
      <c r="I1142" s="48">
        <f>VLOOKUP($B1136,[6]Complaints!$A$4:$AG$39,5,)</f>
        <v>0</v>
      </c>
      <c r="J1142" s="48">
        <f>VLOOKUP($B1136,[7]Complaints!$A$4:$AG$39,5,)</f>
        <v>2</v>
      </c>
      <c r="K1142" s="48">
        <f>VLOOKUP($B1136,[8]Complaints!$A$4:$AG$39,5,)</f>
        <v>2</v>
      </c>
      <c r="L1142" s="48">
        <f>VLOOKUP($B1136,[9]Complaints!$A$4:$AG$39,5,)</f>
        <v>2</v>
      </c>
      <c r="M1142" s="48">
        <f>VLOOKUP($B1136,[10]Complaints!$A$4:$AG$39,5,)</f>
        <v>0</v>
      </c>
      <c r="N1142" s="48">
        <f>VLOOKUP($B1136,[11]Complaints!$A$4:$AG$39,5,)</f>
        <v>0</v>
      </c>
      <c r="O1142" s="49">
        <f>VLOOKUP($B1136,[12]Complaints!$A$4:$AG$39,5,)</f>
        <v>0</v>
      </c>
      <c r="P1142" s="55">
        <f t="shared" ref="P1142" si="297">SUM(D1142:O1142)</f>
        <v>7</v>
      </c>
      <c r="Q1142" s="50"/>
      <c r="R1142" s="18"/>
    </row>
    <row r="1143" spans="2:18" ht="15.75" customHeight="1" x14ac:dyDescent="0.2">
      <c r="B1143" s="26"/>
      <c r="C1143" s="28" t="s">
        <v>99</v>
      </c>
      <c r="D1143" s="51">
        <f>IF(D1137=0,"",D1142/D1137)</f>
        <v>0</v>
      </c>
      <c r="E1143" s="52">
        <f t="shared" ref="E1143:O1143" si="298">IF(E1137=0,"",E1142/E1137)</f>
        <v>0</v>
      </c>
      <c r="F1143" s="52">
        <f t="shared" si="298"/>
        <v>0</v>
      </c>
      <c r="G1143" s="52">
        <f t="shared" si="298"/>
        <v>6.2774639045825491E-4</v>
      </c>
      <c r="H1143" s="52">
        <f t="shared" si="298"/>
        <v>0</v>
      </c>
      <c r="I1143" s="52">
        <f t="shared" si="298"/>
        <v>0</v>
      </c>
      <c r="J1143" s="52">
        <f t="shared" si="298"/>
        <v>8.4745762711864404E-4</v>
      </c>
      <c r="K1143" s="52">
        <f t="shared" si="298"/>
        <v>8.4745762711864404E-4</v>
      </c>
      <c r="L1143" s="52">
        <f t="shared" si="298"/>
        <v>9.0785292782569226E-4</v>
      </c>
      <c r="M1143" s="52">
        <f t="shared" si="298"/>
        <v>0</v>
      </c>
      <c r="N1143" s="52" t="str">
        <f t="shared" si="298"/>
        <v/>
      </c>
      <c r="O1143" s="53" t="str">
        <f t="shared" si="298"/>
        <v/>
      </c>
      <c r="P1143" s="54">
        <f>IF(P1142="","",P1142/P1137)</f>
        <v>4.2675120404803997E-4</v>
      </c>
      <c r="Q1143" s="50"/>
      <c r="R1143" s="18"/>
    </row>
    <row r="1144" spans="2:18" ht="15.75" customHeight="1" x14ac:dyDescent="0.2">
      <c r="B1144" s="157" t="s">
        <v>97</v>
      </c>
      <c r="C1144" s="156"/>
      <c r="D1144" s="47">
        <f>VLOOKUP($B1136,[1]Complaints!$A$4:$AF$39,6,)</f>
        <v>0</v>
      </c>
      <c r="E1144" s="48">
        <f>VLOOKUP($B1136,[2]Complaints!$A$4:$AF$39,6,)</f>
        <v>1</v>
      </c>
      <c r="F1144" s="48">
        <f>VLOOKUP($B1136,[3]Complaints!$A$4:$AG$39,6,)</f>
        <v>0</v>
      </c>
      <c r="G1144" s="48">
        <f>VLOOKUP($B1136,[4]Complaints!$A$4:$AG$39,6,)</f>
        <v>0</v>
      </c>
      <c r="H1144" s="48">
        <f>VLOOKUP($B1136,[5]Complaints!$A$4:$AG$39,6,)</f>
        <v>0</v>
      </c>
      <c r="I1144" s="48">
        <f>VLOOKUP($B1136,[6]Complaints!$A$4:$AG$39,6,)</f>
        <v>0</v>
      </c>
      <c r="J1144" s="48">
        <f>VLOOKUP($B1136,[7]Complaints!$A$4:$AG$39,6,)</f>
        <v>2</v>
      </c>
      <c r="K1144" s="48">
        <f>VLOOKUP($B1136,[8]Complaints!$A$4:$AG$39,6,)</f>
        <v>2</v>
      </c>
      <c r="L1144" s="48">
        <f>VLOOKUP($B1136,[9]Complaints!$A$4:$AG$39,6,)</f>
        <v>1</v>
      </c>
      <c r="M1144" s="48">
        <f>VLOOKUP($B1136,[10]Complaints!$A$4:$AG$39,6,)</f>
        <v>0</v>
      </c>
      <c r="N1144" s="48">
        <f>VLOOKUP($B1136,[11]Complaints!$A$4:$AG$39,6,)</f>
        <v>0</v>
      </c>
      <c r="O1144" s="49">
        <f>VLOOKUP($B1136,[12]Complaints!$A$4:$AG$39,6,)</f>
        <v>0</v>
      </c>
      <c r="P1144" s="55">
        <f t="shared" ref="P1144" si="299">SUM(D1144:O1144)</f>
        <v>6</v>
      </c>
      <c r="Q1144" s="50"/>
      <c r="R1144" s="18"/>
    </row>
    <row r="1145" spans="2:18" ht="15.75" customHeight="1" thickBot="1" x14ac:dyDescent="0.25">
      <c r="B1145" s="27"/>
      <c r="C1145" s="29" t="s">
        <v>100</v>
      </c>
      <c r="D1145" s="56" t="str">
        <f>IF(D1144=0,"",D1144/D1142)</f>
        <v/>
      </c>
      <c r="E1145" s="57" t="e">
        <f t="shared" ref="E1145:H1145" si="300">IF(E1144=0,"",E1144/E1142)</f>
        <v>#DIV/0!</v>
      </c>
      <c r="F1145" s="57" t="str">
        <f t="shared" si="300"/>
        <v/>
      </c>
      <c r="G1145" s="57" t="str">
        <f t="shared" si="300"/>
        <v/>
      </c>
      <c r="H1145" s="57" t="str">
        <f t="shared" si="300"/>
        <v/>
      </c>
      <c r="I1145" s="57" t="str">
        <f>IF(I1144=0,"",I1144/I1142)</f>
        <v/>
      </c>
      <c r="J1145" s="57">
        <f t="shared" ref="J1145:O1145" si="301">IF(J1144=0,"",J1144/J1142)</f>
        <v>1</v>
      </c>
      <c r="K1145" s="57">
        <f t="shared" si="301"/>
        <v>1</v>
      </c>
      <c r="L1145" s="57">
        <f t="shared" si="301"/>
        <v>0.5</v>
      </c>
      <c r="M1145" s="57" t="str">
        <f t="shared" si="301"/>
        <v/>
      </c>
      <c r="N1145" s="57" t="str">
        <f t="shared" si="301"/>
        <v/>
      </c>
      <c r="O1145" s="58" t="str">
        <f t="shared" si="301"/>
        <v/>
      </c>
      <c r="P1145" s="59">
        <f>IF(P1144=0,"",P1144/P1142)</f>
        <v>0.8571428571428571</v>
      </c>
      <c r="Q1145" s="60"/>
      <c r="R1145" s="18"/>
    </row>
    <row r="1146" spans="2:18" ht="15.75" customHeight="1" x14ac:dyDescent="0.2">
      <c r="B1146" s="168" t="s">
        <v>103</v>
      </c>
      <c r="C1146" s="30" t="s">
        <v>77</v>
      </c>
      <c r="D1146" s="61">
        <f>VLOOKUP($B1136,[1]Complaints!$A$4:$AJ$39,7,)</f>
        <v>0</v>
      </c>
      <c r="E1146" s="43">
        <f>VLOOKUP($B1136,[2]Complaints!$A$4:$AJ$39,7,)</f>
        <v>1</v>
      </c>
      <c r="F1146" s="43">
        <f>VLOOKUP($B1136,[3]Complaints!$A$4:$AJ$39,7,)</f>
        <v>0</v>
      </c>
      <c r="G1146" s="43">
        <f>VLOOKUP($B1136,[4]Complaints!$A$4:$AJ$39,7,)</f>
        <v>0</v>
      </c>
      <c r="H1146" s="43">
        <f>VLOOKUP($B1136,[5]Complaints!$A$4:$AJ$39,7,)</f>
        <v>0</v>
      </c>
      <c r="I1146" s="43">
        <f>VLOOKUP($B1136,[6]Complaints!$A$4:$AJ$39,7,)</f>
        <v>0</v>
      </c>
      <c r="J1146" s="43">
        <f>VLOOKUP($B1136,[7]Complaints!$A$4:$AJ$39,7,)</f>
        <v>0</v>
      </c>
      <c r="K1146" s="43">
        <f>VLOOKUP($B1136,[8]Complaints!$A$4:$AJ$39,7,)</f>
        <v>0</v>
      </c>
      <c r="L1146" s="43">
        <f>VLOOKUP($B1136,[9]Complaints!$A$4:$AJ$39,7,)</f>
        <v>0</v>
      </c>
      <c r="M1146" s="43">
        <f>VLOOKUP($B1136,[10]Complaints!$A$4:$AJ$39,7,)</f>
        <v>0</v>
      </c>
      <c r="N1146" s="43">
        <f>VLOOKUP($B1136,[11]Complaints!$A$4:$AJ$39,7,)</f>
        <v>0</v>
      </c>
      <c r="O1146" s="44">
        <f>VLOOKUP($B1136,[12]Complaints!$A$4:$AJ$39,7,)</f>
        <v>0</v>
      </c>
      <c r="P1146" s="45">
        <f>SUM(D1146:O1146)</f>
        <v>1</v>
      </c>
      <c r="Q1146" s="46">
        <f>IF(P1146=0,"",P1146/$P1138)</f>
        <v>7.6923076923076927E-2</v>
      </c>
      <c r="R1146" s="18"/>
    </row>
    <row r="1147" spans="2:18" ht="15.75" customHeight="1" x14ac:dyDescent="0.2">
      <c r="B1147" s="169"/>
      <c r="C1147" s="31" t="s">
        <v>89</v>
      </c>
      <c r="D1147" s="47">
        <f>VLOOKUP($B1136,[1]Complaints!$A$4:$AJ$39,8,)</f>
        <v>0</v>
      </c>
      <c r="E1147" s="48">
        <f>VLOOKUP($B1136,[2]Complaints!$A$4:$AJ$39,8,)</f>
        <v>0</v>
      </c>
      <c r="F1147" s="48">
        <f>VLOOKUP($B1136,[3]Complaints!$A$4:$AJ$39,8,)</f>
        <v>0</v>
      </c>
      <c r="G1147" s="48">
        <f>VLOOKUP($B1136,[4]Complaints!$A$4:$AJ$39,8,)</f>
        <v>1</v>
      </c>
      <c r="H1147" s="48">
        <f>VLOOKUP($B1136,[5]Complaints!$A$4:$AJ$39,8,)</f>
        <v>0</v>
      </c>
      <c r="I1147" s="48">
        <f>VLOOKUP($B1136,[6]Complaints!$A$4:$AJ$39,8,)</f>
        <v>0</v>
      </c>
      <c r="J1147" s="48">
        <f>VLOOKUP($B1136,[7]Complaints!$A$4:$AJ$39,8,)</f>
        <v>2</v>
      </c>
      <c r="K1147" s="48">
        <f>VLOOKUP($B1136,[8]Complaints!$A$4:$AJ$39,8,)</f>
        <v>0</v>
      </c>
      <c r="L1147" s="48">
        <f>VLOOKUP($B1136,[9]Complaints!$A$4:$AJ$39,8,)</f>
        <v>2</v>
      </c>
      <c r="M1147" s="48">
        <f>VLOOKUP($B1136,[10]Complaints!$A$4:$AJ$39,8,)</f>
        <v>0</v>
      </c>
      <c r="N1147" s="48">
        <f>VLOOKUP($B1136,[11]Complaints!$A$4:$AJ$39,8,)</f>
        <v>0</v>
      </c>
      <c r="O1147" s="49">
        <f>VLOOKUP($B1136,[12]Complaints!$A$4:$AJ$39,8,)</f>
        <v>0</v>
      </c>
      <c r="P1147" s="55">
        <f t="shared" ref="P1147:P1148" si="302">SUM(D1147:O1147)</f>
        <v>5</v>
      </c>
      <c r="Q1147" s="50">
        <f>IF(P1147="","",P1147/$P1138)</f>
        <v>0.38461538461538464</v>
      </c>
      <c r="R1147" s="18"/>
    </row>
    <row r="1148" spans="2:18" ht="15.75" customHeight="1" x14ac:dyDescent="0.2">
      <c r="B1148" s="169"/>
      <c r="C1148" s="31" t="s">
        <v>88</v>
      </c>
      <c r="D1148" s="47">
        <f>VLOOKUP($B1136,[1]Complaints!$A$4:$AJ$39,9,)</f>
        <v>0</v>
      </c>
      <c r="E1148" s="48">
        <f>VLOOKUP($B1136,[2]Complaints!$A$4:$AJ$39,9,)</f>
        <v>0</v>
      </c>
      <c r="F1148" s="48">
        <f>VLOOKUP($B1136,[3]Complaints!$A$4:$AJ$39,9,)</f>
        <v>0</v>
      </c>
      <c r="G1148" s="48">
        <f>VLOOKUP($B1136,[4]Complaints!$A$4:$AJ$39,9,)</f>
        <v>0</v>
      </c>
      <c r="H1148" s="48">
        <f>VLOOKUP($B1136,[5]Complaints!$A$4:$AJ$39,9,)</f>
        <v>0</v>
      </c>
      <c r="I1148" s="48">
        <f>VLOOKUP($B1136,[6]Complaints!$A$4:$AJ$39,9,)</f>
        <v>0</v>
      </c>
      <c r="J1148" s="48">
        <f>VLOOKUP($B1136,[7]Complaints!$A$4:$AJ$39,9,)</f>
        <v>0</v>
      </c>
      <c r="K1148" s="48">
        <f>VLOOKUP($B1136,[8]Complaints!$A$4:$AJ$39,9,)</f>
        <v>0</v>
      </c>
      <c r="L1148" s="48">
        <f>VLOOKUP($B1136,[9]Complaints!$A$4:$AJ$39,9,)</f>
        <v>0</v>
      </c>
      <c r="M1148" s="48">
        <f>VLOOKUP($B1136,[10]Complaints!$A$4:$AJ$39,9,)</f>
        <v>0</v>
      </c>
      <c r="N1148" s="48">
        <f>VLOOKUP($B1136,[11]Complaints!$A$4:$AJ$39,9,)</f>
        <v>0</v>
      </c>
      <c r="O1148" s="49">
        <f>VLOOKUP($B1136,[12]Complaints!$A$4:$AJ$39,9,)</f>
        <v>0</v>
      </c>
      <c r="P1148" s="55">
        <f t="shared" si="302"/>
        <v>0</v>
      </c>
      <c r="Q1148" s="50" t="str">
        <f>IF(P1148=0,"",P1148/$P1138)</f>
        <v/>
      </c>
      <c r="R1148" s="18"/>
    </row>
    <row r="1149" spans="2:18" ht="15.75" customHeight="1" x14ac:dyDescent="0.2">
      <c r="B1149" s="169"/>
      <c r="C1149" s="31" t="s">
        <v>13</v>
      </c>
      <c r="D1149" s="47">
        <f>VLOOKUP($B1136,[1]Complaints!$A$4:$AJ$39,10,)</f>
        <v>0</v>
      </c>
      <c r="E1149" s="48">
        <f>VLOOKUP($B1136,[2]Complaints!$A$4:$AJ$39,10,)</f>
        <v>0</v>
      </c>
      <c r="F1149" s="48">
        <f>VLOOKUP($B1136,[3]Complaints!$A$4:$AJ$39,10,)</f>
        <v>0</v>
      </c>
      <c r="G1149" s="48">
        <f>VLOOKUP($B1136,[4]Complaints!$A$4:$AJ$39,10,)</f>
        <v>0</v>
      </c>
      <c r="H1149" s="48">
        <f>VLOOKUP($B1136,[5]Complaints!$A$4:$AJ$39,10,)</f>
        <v>0</v>
      </c>
      <c r="I1149" s="48">
        <f>VLOOKUP($B1136,[6]Complaints!$A$4:$AJ$39,10,)</f>
        <v>4</v>
      </c>
      <c r="J1149" s="48">
        <f>VLOOKUP($B1136,[7]Complaints!$A$4:$AJ$39,10,)</f>
        <v>0</v>
      </c>
      <c r="K1149" s="48">
        <f>VLOOKUP($B1136,[8]Complaints!$A$4:$AJ$39,10,)</f>
        <v>0</v>
      </c>
      <c r="L1149" s="48">
        <f>VLOOKUP($B1136,[9]Complaints!$A$4:$AJ$39,10,)</f>
        <v>1</v>
      </c>
      <c r="M1149" s="48">
        <f>VLOOKUP($B1136,[10]Complaints!$A$4:$AJ$39,10,)</f>
        <v>0</v>
      </c>
      <c r="N1149" s="48">
        <f>VLOOKUP($B1136,[11]Complaints!$A$4:$AJ$39,10,)</f>
        <v>0</v>
      </c>
      <c r="O1149" s="49">
        <f>VLOOKUP($B1136,[12]Complaints!$A$4:$AJ$39,10,)</f>
        <v>0</v>
      </c>
      <c r="P1149" s="55">
        <f>SUM(D1149:O1149)</f>
        <v>5</v>
      </c>
      <c r="Q1149" s="50">
        <f>IF(P1149=0,"",P1149/$P1138)</f>
        <v>0.38461538461538464</v>
      </c>
      <c r="R1149" s="18"/>
    </row>
    <row r="1150" spans="2:18" ht="15.75" customHeight="1" x14ac:dyDescent="0.2">
      <c r="B1150" s="169"/>
      <c r="C1150" s="31" t="s">
        <v>101</v>
      </c>
      <c r="D1150" s="47">
        <f>VLOOKUP($B1136,[1]Complaints!$A$4:$AJ$39,11,)</f>
        <v>0</v>
      </c>
      <c r="E1150" s="48">
        <f>VLOOKUP($B1136,[2]Complaints!$A$4:$AJ$39,11,)</f>
        <v>0</v>
      </c>
      <c r="F1150" s="48">
        <f>VLOOKUP($B1136,[3]Complaints!$A$4:$AJ$39,11,)</f>
        <v>0</v>
      </c>
      <c r="G1150" s="48">
        <f>VLOOKUP($B1136,[4]Complaints!$A$4:$AJ$39,11,)</f>
        <v>0</v>
      </c>
      <c r="H1150" s="48">
        <f>VLOOKUP($B1136,[5]Complaints!$A$4:$AJ$39,11,)</f>
        <v>0</v>
      </c>
      <c r="I1150" s="48">
        <f>VLOOKUP($B1136,[6]Complaints!$A$4:$AJ$39,11,)</f>
        <v>0</v>
      </c>
      <c r="J1150" s="48">
        <f>VLOOKUP($B1136,[7]Complaints!$A$4:$AJ$39,11,)</f>
        <v>0</v>
      </c>
      <c r="K1150" s="48">
        <f>VLOOKUP($B1136,[8]Complaints!$A$4:$AJ$39,11,)</f>
        <v>0</v>
      </c>
      <c r="L1150" s="48">
        <f>VLOOKUP($B1136,[9]Complaints!$A$4:$AJ$39,11,)</f>
        <v>0</v>
      </c>
      <c r="M1150" s="48">
        <f>VLOOKUP($B1136,[10]Complaints!$A$4:$AJ$39,11,)</f>
        <v>0</v>
      </c>
      <c r="N1150" s="48">
        <f>VLOOKUP($B1136,[11]Complaints!$A$4:$AJ$39,11,)</f>
        <v>0</v>
      </c>
      <c r="O1150" s="49">
        <f>VLOOKUP($B1136,[12]Complaints!$A$4:$AJ$39,11,)</f>
        <v>0</v>
      </c>
      <c r="P1150" s="55">
        <f t="shared" ref="P1150:P1159" si="303">SUM(D1150:O1150)</f>
        <v>0</v>
      </c>
      <c r="Q1150" s="50" t="str">
        <f>IF(P1150=0,"",P1150/$P1138)</f>
        <v/>
      </c>
      <c r="R1150" s="18"/>
    </row>
    <row r="1151" spans="2:18" s="19" customFormat="1" ht="15.75" customHeight="1" x14ac:dyDescent="0.2">
      <c r="B1151" s="169"/>
      <c r="C1151" s="31" t="s">
        <v>93</v>
      </c>
      <c r="D1151" s="47">
        <f>VLOOKUP($B1136,[1]Complaints!$A$4:$AJ$39,12,)</f>
        <v>0</v>
      </c>
      <c r="E1151" s="48">
        <f>VLOOKUP($B1136,[2]Complaints!$A$4:$AJ$39,12,)</f>
        <v>0</v>
      </c>
      <c r="F1151" s="48">
        <f>VLOOKUP($B1136,[3]Complaints!$A$4:$AJ$39,12,)</f>
        <v>0</v>
      </c>
      <c r="G1151" s="48">
        <f>VLOOKUP($B1136,[4]Complaints!$A$4:$AJ$39,12,)</f>
        <v>0</v>
      </c>
      <c r="H1151" s="48">
        <f>VLOOKUP($B1136,[5]Complaints!$A$4:$AJ$39,12,)</f>
        <v>0</v>
      </c>
      <c r="I1151" s="48">
        <f>VLOOKUP($B1136,[6]Complaints!$A$4:$AJ$39,12,)</f>
        <v>0</v>
      </c>
      <c r="J1151" s="48">
        <f>VLOOKUP($B1136,[7]Complaints!$A$4:$AJ$39,12,)</f>
        <v>0</v>
      </c>
      <c r="K1151" s="48">
        <f>VLOOKUP($B1136,[8]Complaints!$A$4:$AJ$39,12,)</f>
        <v>0</v>
      </c>
      <c r="L1151" s="48">
        <f>VLOOKUP($B1136,[9]Complaints!$A$4:$AJ$39,12,)</f>
        <v>0</v>
      </c>
      <c r="M1151" s="48">
        <f>VLOOKUP($B1136,[10]Complaints!$A$4:$AJ$39,12,)</f>
        <v>0</v>
      </c>
      <c r="N1151" s="48">
        <f>VLOOKUP($B1136,[11]Complaints!$A$4:$AJ$39,12,)</f>
        <v>0</v>
      </c>
      <c r="O1151" s="49">
        <f>VLOOKUP($B1136,[12]Complaints!$A$4:$AJ$39,12,)</f>
        <v>0</v>
      </c>
      <c r="P1151" s="55">
        <f t="shared" si="303"/>
        <v>0</v>
      </c>
      <c r="Q1151" s="50" t="str">
        <f>IF(P1151=0,"",P1151/$P1138)</f>
        <v/>
      </c>
    </row>
    <row r="1152" spans="2:18" ht="15.75" customHeight="1" x14ac:dyDescent="0.2">
      <c r="B1152" s="169"/>
      <c r="C1152" s="31" t="s">
        <v>78</v>
      </c>
      <c r="D1152" s="47">
        <f>VLOOKUP($B1136,[1]Complaints!$A$4:$AJ$39,13,)</f>
        <v>0</v>
      </c>
      <c r="E1152" s="48">
        <f>VLOOKUP($B1136,[2]Complaints!$A$4:$AJ$39,13,)</f>
        <v>0</v>
      </c>
      <c r="F1152" s="48">
        <f>VLOOKUP($B1136,[3]Complaints!$A$4:$AJ$39,13,)</f>
        <v>0</v>
      </c>
      <c r="G1152" s="48">
        <f>VLOOKUP($B1136,[4]Complaints!$A$4:$AJ$39,13,)</f>
        <v>0</v>
      </c>
      <c r="H1152" s="48">
        <f>VLOOKUP($B1136,[5]Complaints!$A$4:$AJ$39,13,)</f>
        <v>0</v>
      </c>
      <c r="I1152" s="48">
        <f>VLOOKUP($B1136,[6]Complaints!$A$4:$AJ$39,13,)</f>
        <v>0</v>
      </c>
      <c r="J1152" s="48">
        <f>VLOOKUP($B1136,[7]Complaints!$A$4:$AJ$39,13,)</f>
        <v>0</v>
      </c>
      <c r="K1152" s="48">
        <f>VLOOKUP($B1136,[8]Complaints!$A$4:$AJ$39,13,)</f>
        <v>0</v>
      </c>
      <c r="L1152" s="48">
        <f>VLOOKUP($B1136,[9]Complaints!$A$4:$AJ$39,13,)</f>
        <v>0</v>
      </c>
      <c r="M1152" s="48">
        <f>VLOOKUP($B1136,[10]Complaints!$A$4:$AJ$39,13,)</f>
        <v>0</v>
      </c>
      <c r="N1152" s="48">
        <f>VLOOKUP($B1136,[11]Complaints!$A$4:$AJ$39,13,)</f>
        <v>0</v>
      </c>
      <c r="O1152" s="49">
        <f>VLOOKUP($B1136,[12]Complaints!$A$4:$AJ$39,13,)</f>
        <v>0</v>
      </c>
      <c r="P1152" s="55">
        <f t="shared" si="303"/>
        <v>0</v>
      </c>
      <c r="Q1152" s="50" t="str">
        <f>IF(P1152=0,"",P1152/$P1138)</f>
        <v/>
      </c>
      <c r="R1152" s="18"/>
    </row>
    <row r="1153" spans="1:19" ht="15.75" customHeight="1" x14ac:dyDescent="0.2">
      <c r="B1153" s="169"/>
      <c r="C1153" s="31" t="s">
        <v>92</v>
      </c>
      <c r="D1153" s="47">
        <f>VLOOKUP($B1136,[1]Complaints!$A$4:$AJ$39,14,)</f>
        <v>0</v>
      </c>
      <c r="E1153" s="48">
        <f>VLOOKUP($B1136,[2]Complaints!$A$4:$AJ$39,14,)</f>
        <v>0</v>
      </c>
      <c r="F1153" s="48">
        <f>VLOOKUP($B1136,[3]Complaints!$A$4:$AJ$39,14,)</f>
        <v>0</v>
      </c>
      <c r="G1153" s="48">
        <f>VLOOKUP($B1136,[4]Complaints!$A$4:$AJ$39,14,)</f>
        <v>0</v>
      </c>
      <c r="H1153" s="48">
        <f>VLOOKUP($B1136,[5]Complaints!$A$4:$AJ$39,14,)</f>
        <v>0</v>
      </c>
      <c r="I1153" s="48">
        <f>VLOOKUP($B1136,[6]Complaints!$A$4:$AJ$39,14,)</f>
        <v>0</v>
      </c>
      <c r="J1153" s="48">
        <f>VLOOKUP($B1136,[7]Complaints!$A$4:$AJ$39,14,)</f>
        <v>0</v>
      </c>
      <c r="K1153" s="48">
        <f>VLOOKUP($B1136,[8]Complaints!$A$4:$AJ$39,14,)</f>
        <v>0</v>
      </c>
      <c r="L1153" s="48">
        <f>VLOOKUP($B1136,[9]Complaints!$A$4:$AJ$39,14,)</f>
        <v>0</v>
      </c>
      <c r="M1153" s="48">
        <f>VLOOKUP($B1136,[10]Complaints!$A$4:$AJ$39,14,)</f>
        <v>0</v>
      </c>
      <c r="N1153" s="48">
        <f>VLOOKUP($B1136,[11]Complaints!$A$4:$AJ$39,14,)</f>
        <v>0</v>
      </c>
      <c r="O1153" s="49">
        <f>VLOOKUP($B1136,[12]Complaints!$A$4:$AJ$39,14,)</f>
        <v>0</v>
      </c>
      <c r="P1153" s="55">
        <f t="shared" si="303"/>
        <v>0</v>
      </c>
      <c r="Q1153" s="50" t="str">
        <f>IF(P1153=0,"",P1153/$P1138)</f>
        <v/>
      </c>
      <c r="R1153" s="18"/>
    </row>
    <row r="1154" spans="1:19" ht="15.75" customHeight="1" x14ac:dyDescent="0.2">
      <c r="B1154" s="169"/>
      <c r="C1154" s="31" t="s">
        <v>91</v>
      </c>
      <c r="D1154" s="47">
        <f>VLOOKUP($B1136,[1]Complaints!$A$4:$AJ$39,15,)</f>
        <v>0</v>
      </c>
      <c r="E1154" s="48">
        <f>VLOOKUP($B1136,[2]Complaints!$A$4:$AJ$39,15,)</f>
        <v>0</v>
      </c>
      <c r="F1154" s="48">
        <f>VLOOKUP($B1136,[3]Complaints!$A$4:$AJ$39,15,)</f>
        <v>0</v>
      </c>
      <c r="G1154" s="48">
        <f>VLOOKUP($B1136,[4]Complaints!$A$4:$AJ$39,15,)</f>
        <v>0</v>
      </c>
      <c r="H1154" s="48">
        <f>VLOOKUP($B1136,[5]Complaints!$A$4:$AJ$39,15,)</f>
        <v>0</v>
      </c>
      <c r="I1154" s="48">
        <f>VLOOKUP($B1136,[6]Complaints!$A$4:$AJ$39,15,)</f>
        <v>0</v>
      </c>
      <c r="J1154" s="48">
        <f>VLOOKUP($B1136,[7]Complaints!$A$4:$AJ$39,15,)</f>
        <v>0</v>
      </c>
      <c r="K1154" s="48">
        <f>VLOOKUP($B1136,[8]Complaints!$A$4:$AJ$39,15,)</f>
        <v>0</v>
      </c>
      <c r="L1154" s="48">
        <f>VLOOKUP($B1136,[9]Complaints!$A$4:$AJ$39,15,)</f>
        <v>0</v>
      </c>
      <c r="M1154" s="48">
        <f>VLOOKUP($B1136,[10]Complaints!$A$4:$AJ$39,15,)</f>
        <v>0</v>
      </c>
      <c r="N1154" s="48">
        <f>VLOOKUP($B1136,[11]Complaints!$A$4:$AJ$39,15,)</f>
        <v>0</v>
      </c>
      <c r="O1154" s="49">
        <f>VLOOKUP($B1136,[12]Complaints!$A$4:$AJ$39,15,)</f>
        <v>0</v>
      </c>
      <c r="P1154" s="55">
        <f t="shared" si="303"/>
        <v>0</v>
      </c>
      <c r="Q1154" s="50" t="str">
        <f>IF(P1154=0,"",P1154/$P1138)</f>
        <v/>
      </c>
      <c r="R1154" s="18"/>
    </row>
    <row r="1155" spans="1:19" ht="15.75" customHeight="1" x14ac:dyDescent="0.2">
      <c r="B1155" s="169"/>
      <c r="C1155" s="31" t="s">
        <v>79</v>
      </c>
      <c r="D1155" s="47">
        <f>VLOOKUP($B1136,[1]Complaints!$A$4:$AJ$39,16,)</f>
        <v>0</v>
      </c>
      <c r="E1155" s="48">
        <f>VLOOKUP($B1136,[2]Complaints!$A$4:$AJ$39,16,)</f>
        <v>0</v>
      </c>
      <c r="F1155" s="48">
        <f>VLOOKUP($B1136,[3]Complaints!$A$4:$AJ$39,16,)</f>
        <v>0</v>
      </c>
      <c r="G1155" s="48">
        <f>VLOOKUP($B1136,[4]Complaints!$A$4:$AJ$39,16,)</f>
        <v>0</v>
      </c>
      <c r="H1155" s="48">
        <f>VLOOKUP($B1136,[5]Complaints!$A$4:$AJ$39,16,)</f>
        <v>0</v>
      </c>
      <c r="I1155" s="48">
        <f>VLOOKUP($B1136,[6]Complaints!$A$4:$AJ$39,16,)</f>
        <v>0</v>
      </c>
      <c r="J1155" s="48">
        <f>VLOOKUP($B1136,[7]Complaints!$A$4:$AJ$39,16,)</f>
        <v>0</v>
      </c>
      <c r="K1155" s="48">
        <f>VLOOKUP($B1136,[8]Complaints!$A$4:$AJ$39,16,)</f>
        <v>0</v>
      </c>
      <c r="L1155" s="48">
        <f>VLOOKUP($B1136,[9]Complaints!$A$4:$AJ$39,16,)</f>
        <v>0</v>
      </c>
      <c r="M1155" s="48">
        <f>VLOOKUP($B1136,[10]Complaints!$A$4:$AJ$39,16,)</f>
        <v>0</v>
      </c>
      <c r="N1155" s="48">
        <f>VLOOKUP($B1136,[11]Complaints!$A$4:$AJ$39,16,)</f>
        <v>0</v>
      </c>
      <c r="O1155" s="49">
        <f>VLOOKUP($B1136,[12]Complaints!$A$4:$AJ$39,16,)</f>
        <v>0</v>
      </c>
      <c r="P1155" s="55">
        <f t="shared" si="303"/>
        <v>0</v>
      </c>
      <c r="Q1155" s="50" t="str">
        <f>IF(P1155=0,"",P1155/$P1138)</f>
        <v/>
      </c>
      <c r="R1155" s="18"/>
    </row>
    <row r="1156" spans="1:19" ht="15.75" customHeight="1" x14ac:dyDescent="0.2">
      <c r="B1156" s="169"/>
      <c r="C1156" s="31" t="s">
        <v>80</v>
      </c>
      <c r="D1156" s="47">
        <f>VLOOKUP($B1136,[1]Complaints!$A$4:$AJ$39,17,)</f>
        <v>0</v>
      </c>
      <c r="E1156" s="48">
        <f>VLOOKUP($B1136,[2]Complaints!$A$4:$AJ$39,17,)</f>
        <v>0</v>
      </c>
      <c r="F1156" s="48">
        <f>VLOOKUP($B1136,[3]Complaints!$A$4:$AJ$39,17,)</f>
        <v>0</v>
      </c>
      <c r="G1156" s="48">
        <f>VLOOKUP($B1136,[4]Complaints!$A$4:$AJ$39,17,)</f>
        <v>0</v>
      </c>
      <c r="H1156" s="48">
        <f>VLOOKUP($B1136,[5]Complaints!$A$4:$AJ$39,17,)</f>
        <v>0</v>
      </c>
      <c r="I1156" s="48">
        <f>VLOOKUP($B1136,[6]Complaints!$A$4:$AJ$39,17,)</f>
        <v>0</v>
      </c>
      <c r="J1156" s="48">
        <f>VLOOKUP($B1136,[7]Complaints!$A$4:$AJ$39,17,)</f>
        <v>0</v>
      </c>
      <c r="K1156" s="48">
        <f>VLOOKUP($B1136,[8]Complaints!$A$4:$AJ$39,17,)</f>
        <v>0</v>
      </c>
      <c r="L1156" s="48">
        <f>VLOOKUP($B1136,[9]Complaints!$A$4:$AJ$39,17,)</f>
        <v>0</v>
      </c>
      <c r="M1156" s="48">
        <f>VLOOKUP($B1136,[10]Complaints!$A$4:$AJ$39,17,)</f>
        <v>0</v>
      </c>
      <c r="N1156" s="48">
        <f>VLOOKUP($B1136,[11]Complaints!$A$4:$AJ$39,17,)</f>
        <v>0</v>
      </c>
      <c r="O1156" s="49">
        <f>VLOOKUP($B1136,[12]Complaints!$A$4:$AJ$39,17,)</f>
        <v>0</v>
      </c>
      <c r="P1156" s="55">
        <f t="shared" si="303"/>
        <v>0</v>
      </c>
      <c r="Q1156" s="50" t="str">
        <f>IF(P1156=0,"",P1156/$P1138)</f>
        <v/>
      </c>
      <c r="R1156" s="18"/>
    </row>
    <row r="1157" spans="1:19" ht="15.75" customHeight="1" x14ac:dyDescent="0.2">
      <c r="B1157" s="169"/>
      <c r="C1157" s="31" t="s">
        <v>81</v>
      </c>
      <c r="D1157" s="47">
        <f>VLOOKUP($B1136,[1]Complaints!$A$4:$AJ$39,18,)</f>
        <v>0</v>
      </c>
      <c r="E1157" s="48">
        <f>VLOOKUP($B1136,[2]Complaints!$A$4:$AJ$39,18,)</f>
        <v>0</v>
      </c>
      <c r="F1157" s="48">
        <f>VLOOKUP($B1136,[3]Complaints!$A$4:$AJ$39,18,)</f>
        <v>0</v>
      </c>
      <c r="G1157" s="48">
        <f>VLOOKUP($B1136,[4]Complaints!$A$4:$AJ$39,18,)</f>
        <v>0</v>
      </c>
      <c r="H1157" s="48">
        <f>VLOOKUP($B1136,[5]Complaints!$A$4:$AJ$39,18,)</f>
        <v>0</v>
      </c>
      <c r="I1157" s="48">
        <f>VLOOKUP($B1136,[6]Complaints!$A$4:$AJ$39,18,)</f>
        <v>0</v>
      </c>
      <c r="J1157" s="48">
        <f>VLOOKUP($B1136,[7]Complaints!$A$4:$AJ$39,18,)</f>
        <v>0</v>
      </c>
      <c r="K1157" s="48">
        <f>VLOOKUP($B1136,[8]Complaints!$A$4:$AJ$39,18,)</f>
        <v>0</v>
      </c>
      <c r="L1157" s="48">
        <f>VLOOKUP($B1136,[9]Complaints!$A$4:$AJ$39,18,)</f>
        <v>0</v>
      </c>
      <c r="M1157" s="48">
        <f>VLOOKUP($B1136,[10]Complaints!$A$4:$AJ$39,18,)</f>
        <v>0</v>
      </c>
      <c r="N1157" s="48">
        <f>VLOOKUP($B1136,[11]Complaints!$A$4:$AJ$39,18,)</f>
        <v>0</v>
      </c>
      <c r="O1157" s="49">
        <f>VLOOKUP($B1136,[12]Complaints!$A$4:$AJ$39,18,)</f>
        <v>0</v>
      </c>
      <c r="P1157" s="55">
        <f t="shared" si="303"/>
        <v>0</v>
      </c>
      <c r="Q1157" s="50" t="str">
        <f>IF(P1157=0,"",P1157/$P1138)</f>
        <v/>
      </c>
      <c r="R1157" s="18"/>
    </row>
    <row r="1158" spans="1:19" ht="15.75" customHeight="1" x14ac:dyDescent="0.2">
      <c r="B1158" s="169"/>
      <c r="C1158" s="31" t="s">
        <v>82</v>
      </c>
      <c r="D1158" s="47">
        <f>VLOOKUP($B1136,[1]Complaints!$A$4:$AJ$39,19,)</f>
        <v>0</v>
      </c>
      <c r="E1158" s="48">
        <f>VLOOKUP($B1136,[2]Complaints!$A$4:$AJ$39,19,)</f>
        <v>0</v>
      </c>
      <c r="F1158" s="48">
        <f>VLOOKUP($B1136,[3]Complaints!$A$4:$AJ$39,19,)</f>
        <v>0</v>
      </c>
      <c r="G1158" s="48">
        <f>VLOOKUP($B1136,[4]Complaints!$A$4:$AJ$39,19,)</f>
        <v>0</v>
      </c>
      <c r="H1158" s="48">
        <f>VLOOKUP($B1136,[5]Complaints!$A$4:$AJ$39,19,)</f>
        <v>0</v>
      </c>
      <c r="I1158" s="48">
        <f>VLOOKUP($B1136,[6]Complaints!$A$4:$AJ$39,19,)</f>
        <v>0</v>
      </c>
      <c r="J1158" s="48">
        <f>VLOOKUP($B1136,[7]Complaints!$A$4:$AJ$39,19,)</f>
        <v>0</v>
      </c>
      <c r="K1158" s="48">
        <f>VLOOKUP($B1136,[8]Complaints!$A$4:$AJ$39,19,)</f>
        <v>0</v>
      </c>
      <c r="L1158" s="48">
        <f>VLOOKUP($B1136,[9]Complaints!$A$4:$AJ$39,19,)</f>
        <v>0</v>
      </c>
      <c r="M1158" s="48">
        <f>VLOOKUP($B1136,[10]Complaints!$A$4:$AJ$39,19,)</f>
        <v>0</v>
      </c>
      <c r="N1158" s="48">
        <f>VLOOKUP($B1136,[11]Complaints!$A$4:$AJ$39,19,)</f>
        <v>0</v>
      </c>
      <c r="O1158" s="49">
        <f>VLOOKUP($B1136,[12]Complaints!$A$4:$AJ$39,19,)</f>
        <v>0</v>
      </c>
      <c r="P1158" s="55">
        <f t="shared" si="303"/>
        <v>0</v>
      </c>
      <c r="Q1158" s="50" t="str">
        <f>IF(P1158=0,"",P1158/$P1138)</f>
        <v/>
      </c>
      <c r="R1158" s="18"/>
    </row>
    <row r="1159" spans="1:19" ht="15.75" customHeight="1" thickBot="1" x14ac:dyDescent="0.25">
      <c r="B1159" s="170"/>
      <c r="C1159" s="31" t="s">
        <v>83</v>
      </c>
      <c r="D1159" s="47">
        <f>VLOOKUP($B1136,[1]Complaints!$A$4:$AJ$39,20,)</f>
        <v>0</v>
      </c>
      <c r="E1159" s="48">
        <f>VLOOKUP($B1136,[2]Complaints!$A$4:$AJ$39,20,)</f>
        <v>0</v>
      </c>
      <c r="F1159" s="48">
        <f>VLOOKUP($B1136,[3]Complaints!$A$4:$AJ$39,20,)</f>
        <v>0</v>
      </c>
      <c r="G1159" s="48">
        <f>VLOOKUP($B1136,[4]Complaints!$A$4:$AJ$39,20,)</f>
        <v>0</v>
      </c>
      <c r="H1159" s="48">
        <f>VLOOKUP($B1136,[5]Complaints!$A$4:$AJ$39,20,)</f>
        <v>0</v>
      </c>
      <c r="I1159" s="48">
        <f>VLOOKUP($B1136,[6]Complaints!$A$4:$AJ$39,20,)</f>
        <v>0</v>
      </c>
      <c r="J1159" s="48">
        <f>VLOOKUP($B1136,[7]Complaints!$A$4:$AJ$39,20,)</f>
        <v>0</v>
      </c>
      <c r="K1159" s="48">
        <f>VLOOKUP($B1136,[8]Complaints!$A$4:$AJ$39,20,)</f>
        <v>0</v>
      </c>
      <c r="L1159" s="48">
        <f>VLOOKUP($B1136,[9]Complaints!$A$4:$AJ$39,20,)</f>
        <v>0</v>
      </c>
      <c r="M1159" s="48">
        <f>VLOOKUP($B1136,[10]Complaints!$A$4:$AJ$39,20,)</f>
        <v>0</v>
      </c>
      <c r="N1159" s="48">
        <f>VLOOKUP($B1136,[11]Complaints!$A$4:$AJ$39,20,)</f>
        <v>0</v>
      </c>
      <c r="O1159" s="49">
        <f>VLOOKUP($B1136,[12]Complaints!$A$4:$AJ$39,20,)</f>
        <v>0</v>
      </c>
      <c r="P1159" s="55">
        <f t="shared" si="303"/>
        <v>0</v>
      </c>
      <c r="Q1159" s="50" t="str">
        <f>IF(P1159=0,"",P1159/$P1138)</f>
        <v/>
      </c>
      <c r="R1159" s="18"/>
    </row>
    <row r="1160" spans="1:19" ht="15.75" customHeight="1" x14ac:dyDescent="0.2">
      <c r="B1160" s="144" t="s">
        <v>90</v>
      </c>
      <c r="C1160" s="37" t="s">
        <v>118</v>
      </c>
      <c r="D1160" s="62">
        <f>VLOOKUP($B1136,[1]Complaints!$A$4:$AJ$39,21,)</f>
        <v>0</v>
      </c>
      <c r="E1160" s="63">
        <f>VLOOKUP($B1136,[2]Complaints!$A$4:$AJ$39,21,)</f>
        <v>1</v>
      </c>
      <c r="F1160" s="63">
        <f>VLOOKUP($B1136,[3]Complaints!$A$4:$AJ$39,21,)</f>
        <v>0</v>
      </c>
      <c r="G1160" s="63">
        <f>VLOOKUP($B1136,[4]Complaints!$A$4:$AJ$39,21,)</f>
        <v>0</v>
      </c>
      <c r="H1160" s="63">
        <f>VLOOKUP($B1136,[5]Complaints!$A$4:$AJ$39,21,)</f>
        <v>0</v>
      </c>
      <c r="I1160" s="63">
        <f>VLOOKUP($B1136,[6]Complaints!$A$4:$AJ$39,21,)</f>
        <v>3</v>
      </c>
      <c r="J1160" s="63">
        <f>VLOOKUP($B1136,[7]Complaints!$A$4:$AJ$39,21,)</f>
        <v>2</v>
      </c>
      <c r="K1160" s="63">
        <f>VLOOKUP($B1136,[8]Complaints!$A$4:$AJ$39,21,)</f>
        <v>2</v>
      </c>
      <c r="L1160" s="63">
        <f>VLOOKUP($B1136,[9]Complaints!$A$4:$AJ$39,21,)</f>
        <v>1</v>
      </c>
      <c r="M1160" s="63">
        <f>VLOOKUP($B1136,[10]Complaints!$A$4:$AJ$39,21,)</f>
        <v>0</v>
      </c>
      <c r="N1160" s="63">
        <f>VLOOKUP($B1136,[11]Complaints!$A$4:$AJ$39,21,)</f>
        <v>0</v>
      </c>
      <c r="O1160" s="64">
        <f>VLOOKUP($B1136,[12]Complaints!$A$4:$AJ$39,21,)</f>
        <v>0</v>
      </c>
      <c r="P1160" s="65">
        <f>SUM(D1160:O1160)</f>
        <v>9</v>
      </c>
      <c r="Q1160" s="46">
        <f>IF(P1160=0,"",P1160/$P1144)</f>
        <v>1.5</v>
      </c>
      <c r="R1160" s="18"/>
    </row>
    <row r="1161" spans="1:19" ht="15.75" customHeight="1" x14ac:dyDescent="0.2">
      <c r="B1161" s="145"/>
      <c r="C1161" s="38" t="s">
        <v>77</v>
      </c>
      <c r="D1161" s="66">
        <f>VLOOKUP($B1136,[1]Complaints!$A$4:$AJ$39,22,)</f>
        <v>0</v>
      </c>
      <c r="E1161" s="67">
        <f>VLOOKUP($B1136,[2]Complaints!$A$4:$AJ$39,22,)</f>
        <v>1</v>
      </c>
      <c r="F1161" s="67">
        <f>VLOOKUP($B1136,[3]Complaints!$A$4:$AJ$39,22,)</f>
        <v>0</v>
      </c>
      <c r="G1161" s="67">
        <f>VLOOKUP($B1136,[4]Complaints!$A$4:$AJ$39,22,)</f>
        <v>0</v>
      </c>
      <c r="H1161" s="67">
        <f>VLOOKUP($B1136,[5]Complaints!$A$4:$AJ$39,22,)</f>
        <v>0</v>
      </c>
      <c r="I1161" s="67">
        <f>VLOOKUP($B1136,[6]Complaints!$A$4:$AJ$39,22,)</f>
        <v>0</v>
      </c>
      <c r="J1161" s="67">
        <f>VLOOKUP($B1136,[7]Complaints!$A$4:$AJ$39,22,)</f>
        <v>0</v>
      </c>
      <c r="K1161" s="67">
        <f>VLOOKUP($B1136,[8]Complaints!$A$4:$AJ$39,22,)</f>
        <v>0</v>
      </c>
      <c r="L1161" s="67">
        <f>VLOOKUP($B1136,[9]Complaints!$A$4:$AJ$39,22,)</f>
        <v>0</v>
      </c>
      <c r="M1161" s="67">
        <f>VLOOKUP($B1136,[10]Complaints!$A$4:$AJ$39,22,)</f>
        <v>0</v>
      </c>
      <c r="N1161" s="67">
        <f>VLOOKUP($B1136,[11]Complaints!$A$4:$AJ$39,22,)</f>
        <v>0</v>
      </c>
      <c r="O1161" s="68">
        <f>VLOOKUP($B1136,[12]Complaints!$A$4:$AJ$39,22,)</f>
        <v>0</v>
      </c>
      <c r="P1161" s="69">
        <f t="shared" ref="P1161:P1175" si="304">SUM(D1161:O1161)</f>
        <v>1</v>
      </c>
      <c r="Q1161" s="70">
        <f>IF(P1161=0,"",P1161/$P1144)</f>
        <v>0.16666666666666666</v>
      </c>
      <c r="R1161" s="18"/>
    </row>
    <row r="1162" spans="1:19" ht="15.75" customHeight="1" x14ac:dyDescent="0.2">
      <c r="B1162" s="145"/>
      <c r="C1162" s="38" t="s">
        <v>108</v>
      </c>
      <c r="D1162" s="66">
        <f>VLOOKUP($B1136,[1]Complaints!$A$4:$AJ$39,23,)</f>
        <v>0</v>
      </c>
      <c r="E1162" s="67">
        <f>VLOOKUP($B1136,[2]Complaints!$A$4:$AJ$39,23,)</f>
        <v>0</v>
      </c>
      <c r="F1162" s="67">
        <f>VLOOKUP($B1136,[3]Complaints!$A$4:$AJ$39,23,)</f>
        <v>0</v>
      </c>
      <c r="G1162" s="67">
        <f>VLOOKUP($B1136,[4]Complaints!$A$4:$AJ$39,23,)</f>
        <v>0</v>
      </c>
      <c r="H1162" s="67">
        <f>VLOOKUP($B1136,[5]Complaints!$A$4:$AJ$39,23,)</f>
        <v>0</v>
      </c>
      <c r="I1162" s="67">
        <f>VLOOKUP($B1136,[6]Complaints!$A$4:$AJ$39,23,)</f>
        <v>0</v>
      </c>
      <c r="J1162" s="67">
        <f>VLOOKUP($B1136,[7]Complaints!$A$4:$AJ$39,23,)</f>
        <v>2</v>
      </c>
      <c r="K1162" s="67">
        <f>VLOOKUP($B1136,[8]Complaints!$A$4:$AJ$39,23,)</f>
        <v>2</v>
      </c>
      <c r="L1162" s="67">
        <f>VLOOKUP($B1136,[9]Complaints!$A$4:$AJ$39,23,)</f>
        <v>0</v>
      </c>
      <c r="M1162" s="67">
        <f>VLOOKUP($B1136,[10]Complaints!$A$4:$AJ$39,23,)</f>
        <v>0</v>
      </c>
      <c r="N1162" s="67">
        <f>VLOOKUP($B1136,[11]Complaints!$A$4:$AJ$39,23,)</f>
        <v>0</v>
      </c>
      <c r="O1162" s="68">
        <f>VLOOKUP($B1136,[12]Complaints!$A$4:$AJ$39,23,)</f>
        <v>0</v>
      </c>
      <c r="P1162" s="69">
        <f t="shared" si="304"/>
        <v>4</v>
      </c>
      <c r="Q1162" s="70">
        <f>IF(P1162=0,"",P1162/$P1144)</f>
        <v>0.66666666666666663</v>
      </c>
      <c r="R1162" s="18"/>
    </row>
    <row r="1163" spans="1:19" ht="15.75" customHeight="1" x14ac:dyDescent="0.2">
      <c r="B1163" s="145"/>
      <c r="C1163" s="38" t="s">
        <v>88</v>
      </c>
      <c r="D1163" s="66">
        <f>VLOOKUP($B1136,[1]Complaints!$A$4:$AJ$39,24,)</f>
        <v>0</v>
      </c>
      <c r="E1163" s="67">
        <f>VLOOKUP($B1136,[2]Complaints!$A$4:$AJ$39,24,)</f>
        <v>0</v>
      </c>
      <c r="F1163" s="67">
        <f>VLOOKUP($B1136,[3]Complaints!$A$4:$AJ$39,24,)</f>
        <v>0</v>
      </c>
      <c r="G1163" s="67">
        <f>VLOOKUP($B1136,[4]Complaints!$A$4:$AJ$39,24,)</f>
        <v>0</v>
      </c>
      <c r="H1163" s="67">
        <f>VLOOKUP($B1136,[5]Complaints!$A$4:$AJ$39,24,)</f>
        <v>0</v>
      </c>
      <c r="I1163" s="67">
        <f>VLOOKUP($B1136,[6]Complaints!$A$4:$AJ$39,24,)</f>
        <v>0</v>
      </c>
      <c r="J1163" s="67">
        <f>VLOOKUP($B1136,[7]Complaints!$A$4:$AJ$39,24,)</f>
        <v>0</v>
      </c>
      <c r="K1163" s="67">
        <f>VLOOKUP($B1136,[8]Complaints!$A$4:$AJ$39,24,)</f>
        <v>0</v>
      </c>
      <c r="L1163" s="67">
        <f>VLOOKUP($B1136,[9]Complaints!$A$4:$AJ$39,24,)</f>
        <v>0</v>
      </c>
      <c r="M1163" s="67">
        <f>VLOOKUP($B1136,[10]Complaints!$A$4:$AJ$39,24,)</f>
        <v>0</v>
      </c>
      <c r="N1163" s="67">
        <f>VLOOKUP($B1136,[11]Complaints!$A$4:$AJ$39,24,)</f>
        <v>0</v>
      </c>
      <c r="O1163" s="68">
        <f>VLOOKUP($B1136,[12]Complaints!$A$4:$AJ$39,24,)</f>
        <v>0</v>
      </c>
      <c r="P1163" s="69">
        <f t="shared" si="304"/>
        <v>0</v>
      </c>
      <c r="Q1163" s="70" t="str">
        <f>IF(P1163=0,"",P1163/$P1144)</f>
        <v/>
      </c>
      <c r="R1163" s="18"/>
    </row>
    <row r="1164" spans="1:19" ht="15.75" customHeight="1" x14ac:dyDescent="0.2">
      <c r="B1164" s="145"/>
      <c r="C1164" s="38" t="s">
        <v>109</v>
      </c>
      <c r="D1164" s="66">
        <f>VLOOKUP($B1136,[1]Complaints!$A$4:$AJ$39,25,)</f>
        <v>0</v>
      </c>
      <c r="E1164" s="67">
        <f>VLOOKUP($B1136,[2]Complaints!$A$4:$AJ$39,25,)</f>
        <v>0</v>
      </c>
      <c r="F1164" s="67">
        <f>VLOOKUP($B1136,[3]Complaints!$A$4:$AJ$39,25,)</f>
        <v>0</v>
      </c>
      <c r="G1164" s="67">
        <f>VLOOKUP($B1136,[4]Complaints!$A$4:$AJ$39,25,)</f>
        <v>0</v>
      </c>
      <c r="H1164" s="67">
        <f>VLOOKUP($B1136,[5]Complaints!$A$4:$AJ$39,25,)</f>
        <v>0</v>
      </c>
      <c r="I1164" s="67">
        <f>VLOOKUP($B1136,[6]Complaints!$A$4:$AJ$39,25,)</f>
        <v>3</v>
      </c>
      <c r="J1164" s="67">
        <f>VLOOKUP($B1136,[7]Complaints!$A$4:$AJ$39,25,)</f>
        <v>0</v>
      </c>
      <c r="K1164" s="67">
        <f>VLOOKUP($B1136,[8]Complaints!$A$4:$AJ$39,25,)</f>
        <v>0</v>
      </c>
      <c r="L1164" s="67">
        <f>VLOOKUP($B1136,[9]Complaints!$A$4:$AJ$39,25,)</f>
        <v>0</v>
      </c>
      <c r="M1164" s="67">
        <f>VLOOKUP($B1136,[10]Complaints!$A$4:$AJ$39,25,)</f>
        <v>0</v>
      </c>
      <c r="N1164" s="67">
        <f>VLOOKUP($B1136,[11]Complaints!$A$4:$AJ$39,25,)</f>
        <v>0</v>
      </c>
      <c r="O1164" s="68">
        <f>VLOOKUP($B1136,[12]Complaints!$A$4:$AJ$39,25,)</f>
        <v>0</v>
      </c>
      <c r="P1164" s="69">
        <f t="shared" si="304"/>
        <v>3</v>
      </c>
      <c r="Q1164" s="70">
        <f>IF(P1164=0,"",P1164/$P1144)</f>
        <v>0.5</v>
      </c>
      <c r="R1164" s="18"/>
    </row>
    <row r="1165" spans="1:19" ht="15.75" customHeight="1" x14ac:dyDescent="0.2">
      <c r="A1165" s="21"/>
      <c r="B1165" s="145"/>
      <c r="C1165" s="38" t="s">
        <v>110</v>
      </c>
      <c r="D1165" s="66">
        <f>VLOOKUP($B1136,[1]Complaints!$A$4:$AJ$39,26,)</f>
        <v>0</v>
      </c>
      <c r="E1165" s="67">
        <f>VLOOKUP($B1136,[2]Complaints!$A$4:$AJ$39,26,)</f>
        <v>0</v>
      </c>
      <c r="F1165" s="67">
        <f>VLOOKUP($B1136,[3]Complaints!$A$4:$AJ$39,26,)</f>
        <v>0</v>
      </c>
      <c r="G1165" s="67">
        <f>VLOOKUP($B1136,[4]Complaints!$A$4:$AJ$39,26,)</f>
        <v>0</v>
      </c>
      <c r="H1165" s="67">
        <f>VLOOKUP($B1136,[5]Complaints!$A$4:$AJ$39,26,)</f>
        <v>0</v>
      </c>
      <c r="I1165" s="67">
        <f>VLOOKUP($B1136,[6]Complaints!$A$4:$AJ$39,26,)</f>
        <v>0</v>
      </c>
      <c r="J1165" s="67">
        <f>VLOOKUP($B1136,[7]Complaints!$A$4:$AJ$39,26,)</f>
        <v>0</v>
      </c>
      <c r="K1165" s="67">
        <f>VLOOKUP($B1136,[8]Complaints!$A$4:$AJ$39,26,)</f>
        <v>0</v>
      </c>
      <c r="L1165" s="67">
        <f>VLOOKUP($B1136,[9]Complaints!$A$4:$AJ$39,26,)</f>
        <v>1</v>
      </c>
      <c r="M1165" s="67">
        <f>VLOOKUP($B1136,[10]Complaints!$A$4:$AJ$39,26,)</f>
        <v>0</v>
      </c>
      <c r="N1165" s="67">
        <f>VLOOKUP($B1136,[11]Complaints!$A$4:$AJ$39,26,)</f>
        <v>0</v>
      </c>
      <c r="O1165" s="68">
        <f>VLOOKUP($B1136,[12]Complaints!$A$4:$AJ$39,26,)</f>
        <v>0</v>
      </c>
      <c r="P1165" s="69">
        <f t="shared" si="304"/>
        <v>1</v>
      </c>
      <c r="Q1165" s="70">
        <f>IF(P1165=0,"",P1165/$P1144)</f>
        <v>0.16666666666666666</v>
      </c>
      <c r="R1165" s="18"/>
    </row>
    <row r="1166" spans="1:19" s="21" customFormat="1" ht="15.75" customHeight="1" x14ac:dyDescent="0.2">
      <c r="B1166" s="145"/>
      <c r="C1166" s="39" t="s">
        <v>107</v>
      </c>
      <c r="D1166" s="71">
        <f>VLOOKUP($B1136,[1]Complaints!$A$4:$AJ$39,27,)</f>
        <v>0</v>
      </c>
      <c r="E1166" s="72">
        <f>VLOOKUP($B1136,[2]Complaints!$A$4:$AJ$39,27,)</f>
        <v>0</v>
      </c>
      <c r="F1166" s="72">
        <f>VLOOKUP($B1136,[3]Complaints!$A$4:$AJ$39,27,)</f>
        <v>0</v>
      </c>
      <c r="G1166" s="72">
        <f>VLOOKUP($B1136,[4]Complaints!$A$4:$AJ$39,27,)</f>
        <v>0</v>
      </c>
      <c r="H1166" s="72">
        <f>VLOOKUP($B1136,[5]Complaints!$A$4:$AJ$39,27,)</f>
        <v>0</v>
      </c>
      <c r="I1166" s="72">
        <f>VLOOKUP($B1136,[6]Complaints!$A$4:$AJ$39,27,)</f>
        <v>0</v>
      </c>
      <c r="J1166" s="72">
        <f>VLOOKUP($B1136,[7]Complaints!$A$4:$AJ$39,27,)</f>
        <v>0</v>
      </c>
      <c r="K1166" s="72">
        <f>VLOOKUP($B1136,[8]Complaints!$A$4:$AJ$39,27,)</f>
        <v>0</v>
      </c>
      <c r="L1166" s="72">
        <f>VLOOKUP($B1136,[9]Complaints!$A$4:$AJ$39,27,)</f>
        <v>0</v>
      </c>
      <c r="M1166" s="72">
        <f>VLOOKUP($B1136,[10]Complaints!$A$4:$AJ$39,27,)</f>
        <v>0</v>
      </c>
      <c r="N1166" s="72">
        <f>VLOOKUP($B1136,[11]Complaints!$A$4:$AJ$39,27,)</f>
        <v>0</v>
      </c>
      <c r="O1166" s="73">
        <f>VLOOKUP($B1136,[12]Complaints!$A$4:$AJ$39,27,)</f>
        <v>0</v>
      </c>
      <c r="P1166" s="69">
        <f t="shared" si="304"/>
        <v>0</v>
      </c>
      <c r="Q1166" s="70" t="str">
        <f>IF(P1166=0,"",P1166/$P1144)</f>
        <v/>
      </c>
      <c r="S1166" s="18"/>
    </row>
    <row r="1167" spans="1:19" ht="15.75" customHeight="1" x14ac:dyDescent="0.2">
      <c r="B1167" s="145"/>
      <c r="C1167" s="39" t="s">
        <v>87</v>
      </c>
      <c r="D1167" s="71">
        <f>VLOOKUP($B1136,[1]Complaints!$A$4:$AJ$39,28,)</f>
        <v>0</v>
      </c>
      <c r="E1167" s="72">
        <f>VLOOKUP($B1136,[2]Complaints!$A$4:$AJ$39,28,)</f>
        <v>0</v>
      </c>
      <c r="F1167" s="72">
        <f>VLOOKUP($B1136,[3]Complaints!$A$4:$AJ$39,28,)</f>
        <v>0</v>
      </c>
      <c r="G1167" s="72">
        <f>VLOOKUP($B1136,[4]Complaints!$A$4:$AJ$39,28,)</f>
        <v>0</v>
      </c>
      <c r="H1167" s="72">
        <f>VLOOKUP($B1136,[5]Complaints!$A$4:$AJ$39,28,)</f>
        <v>0</v>
      </c>
      <c r="I1167" s="72">
        <f>VLOOKUP($B1136,[6]Complaints!$A$4:$AJ$39,28,)</f>
        <v>0</v>
      </c>
      <c r="J1167" s="72">
        <f>VLOOKUP($B1136,[7]Complaints!$A$4:$AJ$39,28,)</f>
        <v>0</v>
      </c>
      <c r="K1167" s="72">
        <f>VLOOKUP($B1136,[8]Complaints!$A$4:$AJ$39,28,)</f>
        <v>0</v>
      </c>
      <c r="L1167" s="72">
        <f>VLOOKUP($B1136,[9]Complaints!$A$4:$AJ$39,28,)</f>
        <v>0</v>
      </c>
      <c r="M1167" s="72">
        <f>VLOOKUP($B1136,[10]Complaints!$A$4:$AJ$39,28,)</f>
        <v>0</v>
      </c>
      <c r="N1167" s="72">
        <f>VLOOKUP($B1136,[11]Complaints!$A$4:$AJ$39,28,)</f>
        <v>0</v>
      </c>
      <c r="O1167" s="73">
        <f>VLOOKUP($B1136,[12]Complaints!$A$4:$AJ$39,28,)</f>
        <v>0</v>
      </c>
      <c r="P1167" s="69">
        <f t="shared" si="304"/>
        <v>0</v>
      </c>
      <c r="Q1167" s="70" t="str">
        <f>IF(P1167=0,"",P1167/$P1144)</f>
        <v/>
      </c>
      <c r="R1167" s="18"/>
    </row>
    <row r="1168" spans="1:19" ht="15.75" customHeight="1" x14ac:dyDescent="0.2">
      <c r="B1168" s="145"/>
      <c r="C1168" s="38" t="s">
        <v>111</v>
      </c>
      <c r="D1168" s="66">
        <f>VLOOKUP($B1136,[1]Complaints!$A$4:$AJ$39,29,)</f>
        <v>0</v>
      </c>
      <c r="E1168" s="67">
        <f>VLOOKUP($B1136,[2]Complaints!$A$4:$AJ$39,29,)</f>
        <v>0</v>
      </c>
      <c r="F1168" s="67">
        <f>VLOOKUP($B1136,[3]Complaints!$A$4:$AJ$39,29,)</f>
        <v>0</v>
      </c>
      <c r="G1168" s="67">
        <f>VLOOKUP($B1136,[4]Complaints!$A$4:$AJ$39,29,)</f>
        <v>0</v>
      </c>
      <c r="H1168" s="67">
        <f>VLOOKUP($B1136,[5]Complaints!$A$4:$AJ$39,29,)</f>
        <v>0</v>
      </c>
      <c r="I1168" s="67">
        <f>VLOOKUP($B1136,[6]Complaints!$A$4:$AJ$39,29,)</f>
        <v>0</v>
      </c>
      <c r="J1168" s="67">
        <f>VLOOKUP($B1136,[7]Complaints!$A$4:$AJ$39,29,)</f>
        <v>0</v>
      </c>
      <c r="K1168" s="67">
        <f>VLOOKUP($B1136,[8]Complaints!$A$4:$AJ$39,29,)</f>
        <v>0</v>
      </c>
      <c r="L1168" s="67">
        <f>VLOOKUP($B1136,[9]Complaints!$A$4:$AJ$39,29,)</f>
        <v>0</v>
      </c>
      <c r="M1168" s="67">
        <f>VLOOKUP($B1136,[10]Complaints!$A$4:$AJ$39,29,)</f>
        <v>0</v>
      </c>
      <c r="N1168" s="67">
        <f>VLOOKUP($B1136,[11]Complaints!$A$4:$AJ$39,29,)</f>
        <v>0</v>
      </c>
      <c r="O1168" s="68">
        <f>VLOOKUP($B1136,[12]Complaints!$A$4:$AJ$39,29,)</f>
        <v>0</v>
      </c>
      <c r="P1168" s="69">
        <f t="shared" si="304"/>
        <v>0</v>
      </c>
      <c r="Q1168" s="70" t="str">
        <f>IF(P1168=0,"",P1168/$P1144)</f>
        <v/>
      </c>
      <c r="R1168" s="18"/>
    </row>
    <row r="1169" spans="2:18" ht="15.75" customHeight="1" x14ac:dyDescent="0.2">
      <c r="B1169" s="145"/>
      <c r="C1169" s="38" t="s">
        <v>112</v>
      </c>
      <c r="D1169" s="66">
        <f>VLOOKUP($B1136,[1]Complaints!$A$4:$AJ$39,30,)</f>
        <v>0</v>
      </c>
      <c r="E1169" s="67">
        <f>VLOOKUP($B1136,[2]Complaints!$A$4:$AJ$39,30,)</f>
        <v>0</v>
      </c>
      <c r="F1169" s="67">
        <f>VLOOKUP($B1136,[3]Complaints!$A$4:$AJ$39,30,)</f>
        <v>0</v>
      </c>
      <c r="G1169" s="67">
        <f>VLOOKUP($B1136,[4]Complaints!$A$4:$AJ$39,30,)</f>
        <v>0</v>
      </c>
      <c r="H1169" s="67">
        <f>VLOOKUP($B1136,[5]Complaints!$A$4:$AJ$39,30,)</f>
        <v>0</v>
      </c>
      <c r="I1169" s="67">
        <f>VLOOKUP($B1136,[6]Complaints!$A$4:$AJ$39,30,)</f>
        <v>0</v>
      </c>
      <c r="J1169" s="67">
        <f>VLOOKUP($B1136,[7]Complaints!$A$4:$AJ$39,30,)</f>
        <v>0</v>
      </c>
      <c r="K1169" s="67">
        <f>VLOOKUP($B1136,[8]Complaints!$A$4:$AJ$39,30,)</f>
        <v>0</v>
      </c>
      <c r="L1169" s="67">
        <f>VLOOKUP($B1136,[9]Complaints!$A$4:$AJ$39,30,)</f>
        <v>0</v>
      </c>
      <c r="M1169" s="67">
        <f>VLOOKUP($B1136,[10]Complaints!$A$4:$AJ$39,30,)</f>
        <v>0</v>
      </c>
      <c r="N1169" s="67">
        <f>VLOOKUP($B1136,[11]Complaints!$A$4:$AJ$39,30,)</f>
        <v>0</v>
      </c>
      <c r="O1169" s="68">
        <f>VLOOKUP($B1136,[12]Complaints!$A$4:$AJ$39,30,)</f>
        <v>0</v>
      </c>
      <c r="P1169" s="69">
        <f t="shared" si="304"/>
        <v>0</v>
      </c>
      <c r="Q1169" s="70" t="str">
        <f>IF(P1169=0,"",P1169/$P1144)</f>
        <v/>
      </c>
      <c r="R1169" s="18"/>
    </row>
    <row r="1170" spans="2:18" ht="15.75" customHeight="1" x14ac:dyDescent="0.2">
      <c r="B1170" s="146"/>
      <c r="C1170" s="40" t="s">
        <v>119</v>
      </c>
      <c r="D1170" s="74">
        <f>VLOOKUP($B1136,[1]Complaints!$A$4:$AJ$39,31,)</f>
        <v>0</v>
      </c>
      <c r="E1170" s="75">
        <f>VLOOKUP($B1136,[2]Complaints!$A$4:$AJ$39,31,)</f>
        <v>0</v>
      </c>
      <c r="F1170" s="75">
        <f>VLOOKUP($B1136,[3]Complaints!$A$4:$AJ$39,31,)</f>
        <v>0</v>
      </c>
      <c r="G1170" s="75">
        <f>VLOOKUP($B1136,[4]Complaints!$A$4:$AJ$39,31,)</f>
        <v>0</v>
      </c>
      <c r="H1170" s="75">
        <f>VLOOKUP($B1136,[5]Complaints!$A$4:$AJ$39,31,)</f>
        <v>0</v>
      </c>
      <c r="I1170" s="75">
        <f>VLOOKUP($B1136,[6]Complaints!$A$4:$AJ$39,31,)</f>
        <v>0</v>
      </c>
      <c r="J1170" s="75">
        <f>VLOOKUP($B1136,[7]Complaints!$A$4:$AJ$39,31,)</f>
        <v>0</v>
      </c>
      <c r="K1170" s="75">
        <f>VLOOKUP($B1136,[8]Complaints!$A$4:$AJ$39,31,)</f>
        <v>0</v>
      </c>
      <c r="L1170" s="75">
        <f>VLOOKUP($B1136,[9]Complaints!$A$4:$AJ$39,31,)</f>
        <v>0</v>
      </c>
      <c r="M1170" s="75">
        <f>VLOOKUP($B1136,[10]Complaints!$A$4:$AJ$39,31,)</f>
        <v>0</v>
      </c>
      <c r="N1170" s="75">
        <f>VLOOKUP($B1136,[11]Complaints!$A$4:$AJ$39,31,)</f>
        <v>0</v>
      </c>
      <c r="O1170" s="76">
        <f>VLOOKUP($B1136,[12]Complaints!$A$4:$AJ$39,31,)</f>
        <v>0</v>
      </c>
      <c r="P1170" s="77">
        <f t="shared" si="304"/>
        <v>0</v>
      </c>
      <c r="Q1170" s="50" t="str">
        <f>IF(P1170=0,"",P1170/$P1144)</f>
        <v/>
      </c>
      <c r="R1170" s="18"/>
    </row>
    <row r="1171" spans="2:18" ht="15.75" customHeight="1" x14ac:dyDescent="0.2">
      <c r="B1171" s="146"/>
      <c r="C1171" s="38" t="s">
        <v>113</v>
      </c>
      <c r="D1171" s="66">
        <f>VLOOKUP($B1136,[1]Complaints!$A$4:$AJ$39,32,)</f>
        <v>0</v>
      </c>
      <c r="E1171" s="67">
        <f>VLOOKUP($B1136,[2]Complaints!$A$4:$AJ$39,32,)</f>
        <v>0</v>
      </c>
      <c r="F1171" s="67">
        <f>VLOOKUP($B1136,[3]Complaints!$A$4:$AJ$39,32,)</f>
        <v>0</v>
      </c>
      <c r="G1171" s="67">
        <f>VLOOKUP($B1136,[4]Complaints!$A$4:$AJ$39,32,)</f>
        <v>0</v>
      </c>
      <c r="H1171" s="67">
        <f>VLOOKUP($B1136,[5]Complaints!$A$4:$AJ$39,32,)</f>
        <v>0</v>
      </c>
      <c r="I1171" s="67">
        <f>VLOOKUP($B1136,[6]Complaints!$A$4:$AJ$39,32,)</f>
        <v>0</v>
      </c>
      <c r="J1171" s="67">
        <f>VLOOKUP($B1136,[7]Complaints!$A$4:$AJ$39,32,)</f>
        <v>0</v>
      </c>
      <c r="K1171" s="67">
        <f>VLOOKUP($B1136,[8]Complaints!$A$4:$AJ$39,32,)</f>
        <v>0</v>
      </c>
      <c r="L1171" s="67">
        <f>VLOOKUP($B1136,[9]Complaints!$A$4:$AJ$39,32,)</f>
        <v>0</v>
      </c>
      <c r="M1171" s="67">
        <f>VLOOKUP($B1136,[10]Complaints!$A$4:$AJ$39,32,)</f>
        <v>0</v>
      </c>
      <c r="N1171" s="67">
        <f>VLOOKUP($B1136,[11]Complaints!$A$4:$AJ$39,32,)</f>
        <v>0</v>
      </c>
      <c r="O1171" s="68">
        <f>VLOOKUP($B1136,[12]Complaints!$A$4:$AJ$39,32,)</f>
        <v>0</v>
      </c>
      <c r="P1171" s="69">
        <f t="shared" si="304"/>
        <v>0</v>
      </c>
      <c r="Q1171" s="70" t="str">
        <f>IF(P1171=0,"",P1171/$P1144)</f>
        <v/>
      </c>
      <c r="R1171" s="18"/>
    </row>
    <row r="1172" spans="2:18" ht="15.75" customHeight="1" x14ac:dyDescent="0.2">
      <c r="B1172" s="146"/>
      <c r="C1172" s="38" t="s">
        <v>114</v>
      </c>
      <c r="D1172" s="66">
        <f>VLOOKUP($B1136,[1]Complaints!$A$4:$AJ$39,33,)</f>
        <v>0</v>
      </c>
      <c r="E1172" s="67">
        <f>VLOOKUP($B1136,[2]Complaints!$A$4:$AJ$39,33,)</f>
        <v>0</v>
      </c>
      <c r="F1172" s="67">
        <f>VLOOKUP($B1136,[3]Complaints!$A$4:$AJ$39,33,)</f>
        <v>0</v>
      </c>
      <c r="G1172" s="67">
        <f>VLOOKUP($B1136,[4]Complaints!$A$4:$AJ$39,33,)</f>
        <v>0</v>
      </c>
      <c r="H1172" s="67">
        <f>VLOOKUP($B1136,[5]Complaints!$A$4:$AJ$39,33,)</f>
        <v>0</v>
      </c>
      <c r="I1172" s="67">
        <f>VLOOKUP($B1136,[6]Complaints!$A$4:$AJ$39,33,)</f>
        <v>0</v>
      </c>
      <c r="J1172" s="67">
        <f>VLOOKUP($B1136,[7]Complaints!$A$4:$AJ$39,33,)</f>
        <v>0</v>
      </c>
      <c r="K1172" s="67">
        <f>VLOOKUP($B1136,[8]Complaints!$A$4:$AJ$39,33,)</f>
        <v>0</v>
      </c>
      <c r="L1172" s="67">
        <f>VLOOKUP($B1136,[9]Complaints!$A$4:$AJ$39,33,)</f>
        <v>0</v>
      </c>
      <c r="M1172" s="67">
        <f>VLOOKUP($B1136,[10]Complaints!$A$4:$AJ$39,33,)</f>
        <v>0</v>
      </c>
      <c r="N1172" s="67">
        <f>VLOOKUP($B1136,[11]Complaints!$A$4:$AJ$39,33,)</f>
        <v>0</v>
      </c>
      <c r="O1172" s="68">
        <f>VLOOKUP($B1136,[12]Complaints!$A$4:$AJ$39,33,)</f>
        <v>0</v>
      </c>
      <c r="P1172" s="69">
        <f t="shared" si="304"/>
        <v>0</v>
      </c>
      <c r="Q1172" s="70" t="str">
        <f>IF(P1172=0,"",P1172/$P1144)</f>
        <v/>
      </c>
      <c r="R1172" s="18"/>
    </row>
    <row r="1173" spans="2:18" ht="15.75" customHeight="1" x14ac:dyDescent="0.2">
      <c r="B1173" s="146"/>
      <c r="C1173" s="38" t="s">
        <v>115</v>
      </c>
      <c r="D1173" s="66">
        <f>VLOOKUP($B1136,[1]Complaints!$A$4:$AJ$39,34,)</f>
        <v>0</v>
      </c>
      <c r="E1173" s="67">
        <f>VLOOKUP($B1136,[2]Complaints!$A$4:$AJ$39,34,)</f>
        <v>0</v>
      </c>
      <c r="F1173" s="67">
        <f>VLOOKUP($B1136,[3]Complaints!$A$4:$AJ$39,34,)</f>
        <v>0</v>
      </c>
      <c r="G1173" s="67">
        <f>VLOOKUP($B1136,[4]Complaints!$A$4:$AJ$39,34,)</f>
        <v>0</v>
      </c>
      <c r="H1173" s="67">
        <f>VLOOKUP($B1136,[5]Complaints!$A$4:$AJ$39,34,)</f>
        <v>0</v>
      </c>
      <c r="I1173" s="67">
        <f>VLOOKUP($B1136,[6]Complaints!$A$4:$AJ$39,34,)</f>
        <v>0</v>
      </c>
      <c r="J1173" s="67">
        <f>VLOOKUP($B1136,[7]Complaints!$A$4:$AJ$39,34,)</f>
        <v>0</v>
      </c>
      <c r="K1173" s="67">
        <f>VLOOKUP($B1136,[8]Complaints!$A$4:$AJ$39,34,)</f>
        <v>0</v>
      </c>
      <c r="L1173" s="67">
        <f>VLOOKUP($B1136,[9]Complaints!$A$4:$AJ$39,34,)</f>
        <v>0</v>
      </c>
      <c r="M1173" s="67">
        <f>VLOOKUP($B1136,[10]Complaints!$A$4:$AJ$39,34,)</f>
        <v>0</v>
      </c>
      <c r="N1173" s="67">
        <f>VLOOKUP($B1136,[11]Complaints!$A$4:$AJ$39,34,)</f>
        <v>0</v>
      </c>
      <c r="O1173" s="68">
        <f>VLOOKUP($B1136,[12]Complaints!$A$4:$AJ$39,34,)</f>
        <v>0</v>
      </c>
      <c r="P1173" s="69">
        <f t="shared" si="304"/>
        <v>0</v>
      </c>
      <c r="Q1173" s="70" t="str">
        <f>IF(P1173=0,"",P1173/$P1144)</f>
        <v/>
      </c>
      <c r="R1173" s="18"/>
    </row>
    <row r="1174" spans="2:18" ht="15.75" customHeight="1" x14ac:dyDescent="0.2">
      <c r="B1174" s="146"/>
      <c r="C1174" s="38" t="s">
        <v>116</v>
      </c>
      <c r="D1174" s="66">
        <f>VLOOKUP($B1136,[1]Complaints!$A$4:$AJ$39,35,)</f>
        <v>0</v>
      </c>
      <c r="E1174" s="67">
        <f>VLOOKUP($B1136,[2]Complaints!$A$4:$AJ$39,35,)</f>
        <v>0</v>
      </c>
      <c r="F1174" s="67">
        <f>VLOOKUP($B1136,[3]Complaints!$A$4:$AJ$39,35,)</f>
        <v>0</v>
      </c>
      <c r="G1174" s="67">
        <f>VLOOKUP($B1136,[4]Complaints!$A$4:$AJ$39,35,)</f>
        <v>0</v>
      </c>
      <c r="H1174" s="67">
        <f>VLOOKUP($B1136,[5]Complaints!$A$4:$AJ$39,35,)</f>
        <v>0</v>
      </c>
      <c r="I1174" s="67">
        <f>VLOOKUP($B1136,[6]Complaints!$A$4:$AJ$39,35,)</f>
        <v>0</v>
      </c>
      <c r="J1174" s="67">
        <f>VLOOKUP($B1136,[7]Complaints!$A$4:$AJ$39,35,)</f>
        <v>0</v>
      </c>
      <c r="K1174" s="67">
        <f>VLOOKUP($B1136,[8]Complaints!$A$4:$AJ$39,35,)</f>
        <v>0</v>
      </c>
      <c r="L1174" s="67">
        <f>VLOOKUP($B1136,[9]Complaints!$A$4:$AJ$39,35,)</f>
        <v>0</v>
      </c>
      <c r="M1174" s="67">
        <f>VLOOKUP($B1136,[10]Complaints!$A$4:$AJ$39,35,)</f>
        <v>0</v>
      </c>
      <c r="N1174" s="67">
        <f>VLOOKUP($B1136,[11]Complaints!$A$4:$AJ$39,35,)</f>
        <v>0</v>
      </c>
      <c r="O1174" s="68">
        <f>VLOOKUP($B1136,[12]Complaints!$A$4:$AJ$39,35,)</f>
        <v>0</v>
      </c>
      <c r="P1174" s="69">
        <f t="shared" si="304"/>
        <v>0</v>
      </c>
      <c r="Q1174" s="70" t="str">
        <f>IF(P1174=0,"",P1174/$P1144)</f>
        <v/>
      </c>
      <c r="R1174" s="18"/>
    </row>
    <row r="1175" spans="2:18" ht="15.75" customHeight="1" thickBot="1" x14ac:dyDescent="0.25">
      <c r="B1175" s="147"/>
      <c r="C1175" s="41" t="s">
        <v>117</v>
      </c>
      <c r="D1175" s="78">
        <f>VLOOKUP($B1136,[1]Complaints!$A$4:$AJ$39,36,)</f>
        <v>0</v>
      </c>
      <c r="E1175" s="79">
        <f>VLOOKUP($B1136,[2]Complaints!$A$4:$AJ$39,36,)</f>
        <v>0</v>
      </c>
      <c r="F1175" s="79">
        <f>VLOOKUP($B1136,[3]Complaints!$A$4:$AJ$39,36,)</f>
        <v>0</v>
      </c>
      <c r="G1175" s="79">
        <f>VLOOKUP($B1136,[4]Complaints!$A$4:$AJ$39,36,)</f>
        <v>0</v>
      </c>
      <c r="H1175" s="79">
        <f>VLOOKUP($B1136,[5]Complaints!$A$4:$AJ$39,36,)</f>
        <v>0</v>
      </c>
      <c r="I1175" s="79">
        <f>VLOOKUP($B1136,[6]Complaints!$A$4:$AJ$39,36,)</f>
        <v>0</v>
      </c>
      <c r="J1175" s="79">
        <f>VLOOKUP($B1136,[7]Complaints!$A$4:$AJ$39,36,)</f>
        <v>0</v>
      </c>
      <c r="K1175" s="79">
        <f>VLOOKUP($B1136,[8]Complaints!$A$4:$AJ$39,36,)</f>
        <v>0</v>
      </c>
      <c r="L1175" s="79">
        <f>VLOOKUP($B1136,[9]Complaints!$A$4:$AJ$39,36,)</f>
        <v>0</v>
      </c>
      <c r="M1175" s="79">
        <f>VLOOKUP($B1136,[10]Complaints!$A$4:$AJ$39,36,)</f>
        <v>0</v>
      </c>
      <c r="N1175" s="79">
        <f>VLOOKUP($B1136,[11]Complaints!$A$4:$AJ$39,36,)</f>
        <v>0</v>
      </c>
      <c r="O1175" s="80">
        <f>VLOOKUP($B1136,[12]Complaints!$A$4:$AJ$39,36,)</f>
        <v>0</v>
      </c>
      <c r="P1175" s="81">
        <f t="shared" si="304"/>
        <v>0</v>
      </c>
      <c r="Q1175" s="82" t="str">
        <f>IF(P1175=0,"",P1175/$P1144)</f>
        <v/>
      </c>
      <c r="R1175" s="18"/>
    </row>
    <row r="1176" spans="2:18" ht="15.75" customHeight="1" thickBot="1" x14ac:dyDescent="0.25">
      <c r="R1176" s="18"/>
    </row>
    <row r="1177" spans="2:18" ht="15.75" customHeight="1" x14ac:dyDescent="0.25">
      <c r="B1177" s="158" t="s">
        <v>34</v>
      </c>
      <c r="C1177" s="159"/>
      <c r="D1177" s="32" t="s">
        <v>0</v>
      </c>
      <c r="E1177" s="20" t="s">
        <v>1</v>
      </c>
      <c r="F1177" s="20" t="s">
        <v>2</v>
      </c>
      <c r="G1177" s="20" t="s">
        <v>3</v>
      </c>
      <c r="H1177" s="20" t="s">
        <v>4</v>
      </c>
      <c r="I1177" s="20" t="s">
        <v>5</v>
      </c>
      <c r="J1177" s="20" t="s">
        <v>6</v>
      </c>
      <c r="K1177" s="20" t="s">
        <v>7</v>
      </c>
      <c r="L1177" s="20" t="s">
        <v>8</v>
      </c>
      <c r="M1177" s="20" t="s">
        <v>9</v>
      </c>
      <c r="N1177" s="20" t="s">
        <v>10</v>
      </c>
      <c r="O1177" s="33" t="s">
        <v>11</v>
      </c>
      <c r="P1177" s="35" t="s">
        <v>12</v>
      </c>
      <c r="Q1177" s="160" t="s">
        <v>104</v>
      </c>
      <c r="R1177" s="18"/>
    </row>
    <row r="1178" spans="2:18" ht="15.75" customHeight="1" thickBot="1" x14ac:dyDescent="0.3">
      <c r="B1178" s="162" t="s">
        <v>49</v>
      </c>
      <c r="C1178" s="163"/>
      <c r="D1178" s="34">
        <v>2020</v>
      </c>
      <c r="E1178" s="34">
        <v>2020</v>
      </c>
      <c r="F1178" s="34">
        <v>2020</v>
      </c>
      <c r="G1178" s="34">
        <v>2020</v>
      </c>
      <c r="H1178" s="34">
        <v>2020</v>
      </c>
      <c r="I1178" s="34">
        <v>2020</v>
      </c>
      <c r="J1178" s="34">
        <v>2020</v>
      </c>
      <c r="K1178" s="34">
        <v>2020</v>
      </c>
      <c r="L1178" s="34">
        <v>2020</v>
      </c>
      <c r="M1178" s="25">
        <v>2021</v>
      </c>
      <c r="N1178" s="25">
        <v>2021</v>
      </c>
      <c r="O1178" s="25">
        <v>2021</v>
      </c>
      <c r="P1178" s="36" t="s">
        <v>122</v>
      </c>
      <c r="Q1178" s="161"/>
      <c r="R1178" s="18"/>
    </row>
    <row r="1179" spans="2:18" ht="12.75" customHeight="1" thickBot="1" x14ac:dyDescent="0.25">
      <c r="B1179" s="164" t="s">
        <v>38</v>
      </c>
      <c r="C1179" s="165"/>
      <c r="D1179" s="42">
        <f>VLOOKUP($B1178,[1]Complaints!$A$4:$AJ$39,2,)</f>
        <v>251</v>
      </c>
      <c r="E1179" s="43">
        <f>VLOOKUP($B1178,[2]Complaints!$A$4:$AJ$39,2,)</f>
        <v>309</v>
      </c>
      <c r="F1179" s="43">
        <f>VLOOKUP($B1178,[3]Complaints!$A$4:$AJ$39,2)</f>
        <v>458</v>
      </c>
      <c r="G1179" s="43">
        <f>VLOOKUP($B1178,[4]Complaints!$A$4:$AJ$39,2)</f>
        <v>738</v>
      </c>
      <c r="H1179" s="43">
        <f>VLOOKUP($B1178,[5]Complaints!$A$4:$AJ$39,2)</f>
        <v>853</v>
      </c>
      <c r="I1179" s="43">
        <f>VLOOKUP($B1178,[6]Complaints!$A$4:$AJ$39,2)</f>
        <v>969</v>
      </c>
      <c r="J1179" s="43">
        <f>VLOOKUP($B1178,[7]Complaints!$A$4:$AJ$39,2)</f>
        <v>1027</v>
      </c>
      <c r="K1179" s="43">
        <f>VLOOKUP($B1178,[8]Complaints!$A$4:$AJ$39,2)</f>
        <v>1027</v>
      </c>
      <c r="L1179" s="43">
        <f>VLOOKUP($B1178,[9]Complaints!$A$4:$AJ$39,2)</f>
        <v>924</v>
      </c>
      <c r="M1179" s="43">
        <f>VLOOKUP($B1178,[10]Complaints!$A$4:$AJ$39,2)</f>
        <v>611</v>
      </c>
      <c r="N1179" s="43">
        <f>VLOOKUP($B1178,[11]Complaints!$A$4:$AJ$39,2)</f>
        <v>0</v>
      </c>
      <c r="O1179" s="44">
        <f>VLOOKUP($B1178,[12]Complaints!$A$4:$AJ$39,2)</f>
        <v>0</v>
      </c>
      <c r="P1179" s="45">
        <f>SUM(D1179:O1179)</f>
        <v>7167</v>
      </c>
      <c r="Q1179" s="46"/>
      <c r="R1179" s="18"/>
    </row>
    <row r="1180" spans="2:18" ht="15.75" customHeight="1" x14ac:dyDescent="0.2">
      <c r="B1180" s="166" t="s">
        <v>94</v>
      </c>
      <c r="C1180" s="167"/>
      <c r="D1180" s="47">
        <f>VLOOKUP($B1178,[1]Complaints!$A$4:$AF$39,3,)</f>
        <v>0</v>
      </c>
      <c r="E1180" s="48">
        <f>VLOOKUP($B1178,[2]Complaints!$A$4:$AF$39,3,)</f>
        <v>0</v>
      </c>
      <c r="F1180" s="48">
        <f>VLOOKUP($B1178,[3]Complaints!$A$4:$AG$39,3,)</f>
        <v>0</v>
      </c>
      <c r="G1180" s="48">
        <f>VLOOKUP($B1178,[4]Complaints!$A$4:$AG$39,3,)</f>
        <v>0</v>
      </c>
      <c r="H1180" s="48">
        <f>VLOOKUP($B1178,[5]Complaints!$A$4:$AG$39,3,)</f>
        <v>2</v>
      </c>
      <c r="I1180" s="48">
        <f>VLOOKUP($B1178,[6]Complaints!$A$4:$AG$39,3,)</f>
        <v>0</v>
      </c>
      <c r="J1180" s="48">
        <f>VLOOKUP($B1178,[7]Complaints!$A$4:$AG$39,3,)</f>
        <v>2</v>
      </c>
      <c r="K1180" s="48">
        <f>VLOOKUP($B1178,[8]Complaints!$A$4:$AG$39,3,)</f>
        <v>2</v>
      </c>
      <c r="L1180" s="48">
        <f>VLOOKUP($B1178,[9]Complaints!$A$4:$AG$39,3,)</f>
        <v>2</v>
      </c>
      <c r="M1180" s="48">
        <f>VLOOKUP($B1178,[10]Complaints!$A$4:$AG$39,3,)</f>
        <v>0</v>
      </c>
      <c r="N1180" s="48">
        <f>VLOOKUP($B1178,[11]Complaints!$A$4:$AG$39,3,)</f>
        <v>0</v>
      </c>
      <c r="O1180" s="49">
        <f>VLOOKUP($B1178,[12]Complaints!$A$4:$AG$39,3,)</f>
        <v>0</v>
      </c>
      <c r="P1180" s="45">
        <f>SUM(D1180:O1180)</f>
        <v>8</v>
      </c>
      <c r="Q1180" s="50"/>
      <c r="R1180" s="18"/>
    </row>
    <row r="1181" spans="2:18" ht="15.75" customHeight="1" x14ac:dyDescent="0.2">
      <c r="B1181" s="26"/>
      <c r="C1181" s="28" t="s">
        <v>102</v>
      </c>
      <c r="D1181" s="51">
        <f>IF(D1179=0,"",D1180/D1179)</f>
        <v>0</v>
      </c>
      <c r="E1181" s="52">
        <f t="shared" ref="E1181:O1181" si="305">IF(E1179=0,"",E1180/E1179)</f>
        <v>0</v>
      </c>
      <c r="F1181" s="52">
        <f t="shared" si="305"/>
        <v>0</v>
      </c>
      <c r="G1181" s="52">
        <f t="shared" si="305"/>
        <v>0</v>
      </c>
      <c r="H1181" s="52">
        <f t="shared" si="305"/>
        <v>2.3446658851113715E-3</v>
      </c>
      <c r="I1181" s="52">
        <f t="shared" si="305"/>
        <v>0</v>
      </c>
      <c r="J1181" s="52">
        <f t="shared" si="305"/>
        <v>1.9474196689386564E-3</v>
      </c>
      <c r="K1181" s="52">
        <f t="shared" si="305"/>
        <v>1.9474196689386564E-3</v>
      </c>
      <c r="L1181" s="52">
        <f t="shared" si="305"/>
        <v>2.1645021645021645E-3</v>
      </c>
      <c r="M1181" s="52">
        <f t="shared" si="305"/>
        <v>0</v>
      </c>
      <c r="N1181" s="52" t="str">
        <f t="shared" si="305"/>
        <v/>
      </c>
      <c r="O1181" s="53" t="str">
        <f t="shared" si="305"/>
        <v/>
      </c>
      <c r="P1181" s="54">
        <f>IF(P1180="","",P1180/P1179)</f>
        <v>1.1162271522254779E-3</v>
      </c>
      <c r="Q1181" s="50"/>
      <c r="R1181" s="18"/>
    </row>
    <row r="1182" spans="2:18" s="21" customFormat="1" ht="15.75" customHeight="1" x14ac:dyDescent="0.2">
      <c r="B1182" s="155" t="s">
        <v>95</v>
      </c>
      <c r="C1182" s="156"/>
      <c r="D1182" s="47">
        <f>VLOOKUP($B1178,[1]Complaints!$A$4:$AF$39,4,)</f>
        <v>0</v>
      </c>
      <c r="E1182" s="48">
        <f>VLOOKUP($B1178,[2]Complaints!$A$4:$AF$39,4,)</f>
        <v>0</v>
      </c>
      <c r="F1182" s="48">
        <f>VLOOKUP($B1178,[3]Complaints!$A$4:$AG$39,4,)</f>
        <v>0</v>
      </c>
      <c r="G1182" s="48">
        <f>VLOOKUP($B1178,[4]Complaints!$A$4:$AG$39,4,)</f>
        <v>0</v>
      </c>
      <c r="H1182" s="48">
        <f>VLOOKUP($B1178,[5]Complaints!$A$4:$AG$39,4,)</f>
        <v>0</v>
      </c>
      <c r="I1182" s="48">
        <f>VLOOKUP($B1178,[6]Complaints!$A$4:$AG$39,4,)</f>
        <v>0</v>
      </c>
      <c r="J1182" s="48">
        <f>VLOOKUP($B1178,[7]Complaints!$A$4:$AG$39,4,)</f>
        <v>0</v>
      </c>
      <c r="K1182" s="48">
        <f>VLOOKUP($B1178,[8]Complaints!$A$4:$AG$39,4,)</f>
        <v>0</v>
      </c>
      <c r="L1182" s="48">
        <f>VLOOKUP($B1178,[9]Complaints!$A$4:$AG$39,4,)</f>
        <v>1</v>
      </c>
      <c r="M1182" s="48">
        <f>VLOOKUP($B1178,[10]Complaints!$A$4:$AG$39,4,)</f>
        <v>0</v>
      </c>
      <c r="N1182" s="48">
        <f>VLOOKUP($B1178,[11]Complaints!$A$4:$AG$39,4,)</f>
        <v>0</v>
      </c>
      <c r="O1182" s="49">
        <f>VLOOKUP($B1178,[12]Complaints!$A$4:$AG$39,4,)</f>
        <v>0</v>
      </c>
      <c r="P1182" s="55">
        <f t="shared" ref="P1182" si="306">SUM(D1182:O1182)</f>
        <v>1</v>
      </c>
      <c r="Q1182" s="50"/>
    </row>
    <row r="1183" spans="2:18" ht="15.75" customHeight="1" x14ac:dyDescent="0.2">
      <c r="B1183" s="26"/>
      <c r="C1183" s="28" t="s">
        <v>98</v>
      </c>
      <c r="D1183" s="51">
        <f>IF(D1179=0,"",D1182/D1179)</f>
        <v>0</v>
      </c>
      <c r="E1183" s="52">
        <f t="shared" ref="E1183:O1183" si="307">IF(E1179=0,"",E1182/E1179)</f>
        <v>0</v>
      </c>
      <c r="F1183" s="52">
        <f t="shared" si="307"/>
        <v>0</v>
      </c>
      <c r="G1183" s="52">
        <f t="shared" si="307"/>
        <v>0</v>
      </c>
      <c r="H1183" s="52">
        <f t="shared" si="307"/>
        <v>0</v>
      </c>
      <c r="I1183" s="52">
        <f t="shared" si="307"/>
        <v>0</v>
      </c>
      <c r="J1183" s="52">
        <f t="shared" si="307"/>
        <v>0</v>
      </c>
      <c r="K1183" s="52">
        <f t="shared" si="307"/>
        <v>0</v>
      </c>
      <c r="L1183" s="52">
        <f t="shared" si="307"/>
        <v>1.0822510822510823E-3</v>
      </c>
      <c r="M1183" s="52">
        <f t="shared" si="307"/>
        <v>0</v>
      </c>
      <c r="N1183" s="52" t="str">
        <f t="shared" si="307"/>
        <v/>
      </c>
      <c r="O1183" s="53" t="str">
        <f t="shared" si="307"/>
        <v/>
      </c>
      <c r="P1183" s="54">
        <f>IF(P1182="","",P1182/P1179)</f>
        <v>1.3952839402818474E-4</v>
      </c>
      <c r="Q1183" s="50"/>
      <c r="R1183" s="18"/>
    </row>
    <row r="1184" spans="2:18" ht="15.75" customHeight="1" x14ac:dyDescent="0.2">
      <c r="B1184" s="155" t="s">
        <v>96</v>
      </c>
      <c r="C1184" s="156"/>
      <c r="D1184" s="47">
        <f>VLOOKUP($B1178,[1]Complaints!$A$4:$AF$39,5,)</f>
        <v>0</v>
      </c>
      <c r="E1184" s="48">
        <f>VLOOKUP($B1178,[2]Complaints!$A$4:$AF$39,5,)</f>
        <v>0</v>
      </c>
      <c r="F1184" s="48">
        <f>VLOOKUP($B1178,[3]Complaints!$A$4:$AG$39,5,)</f>
        <v>0</v>
      </c>
      <c r="G1184" s="48">
        <f>VLOOKUP($B1178,[4]Complaints!$A$4:$AG$39,5,)</f>
        <v>0</v>
      </c>
      <c r="H1184" s="48">
        <f>VLOOKUP($B1178,[5]Complaints!$A$4:$AG$39,5,)</f>
        <v>2</v>
      </c>
      <c r="I1184" s="48">
        <f>VLOOKUP($B1178,[6]Complaints!$A$4:$AG$39,5,)</f>
        <v>0</v>
      </c>
      <c r="J1184" s="48">
        <f>VLOOKUP($B1178,[7]Complaints!$A$4:$AG$39,5,)</f>
        <v>2</v>
      </c>
      <c r="K1184" s="48">
        <f>VLOOKUP($B1178,[8]Complaints!$A$4:$AG$39,5,)</f>
        <v>2</v>
      </c>
      <c r="L1184" s="48">
        <f>VLOOKUP($B1178,[9]Complaints!$A$4:$AG$39,5,)</f>
        <v>1</v>
      </c>
      <c r="M1184" s="48">
        <f>VLOOKUP($B1178,[10]Complaints!$A$4:$AG$39,5,)</f>
        <v>0</v>
      </c>
      <c r="N1184" s="48">
        <f>VLOOKUP($B1178,[11]Complaints!$A$4:$AG$39,5,)</f>
        <v>0</v>
      </c>
      <c r="O1184" s="49">
        <f>VLOOKUP($B1178,[12]Complaints!$A$4:$AG$39,5,)</f>
        <v>0</v>
      </c>
      <c r="P1184" s="55">
        <f t="shared" ref="P1184" si="308">SUM(D1184:O1184)</f>
        <v>7</v>
      </c>
      <c r="Q1184" s="50"/>
      <c r="R1184" s="18"/>
    </row>
    <row r="1185" spans="2:18" ht="15.75" customHeight="1" x14ac:dyDescent="0.2">
      <c r="B1185" s="26"/>
      <c r="C1185" s="28" t="s">
        <v>99</v>
      </c>
      <c r="D1185" s="51">
        <f>IF(D1179=0,"",D1184/D1179)</f>
        <v>0</v>
      </c>
      <c r="E1185" s="52">
        <f t="shared" ref="E1185:O1185" si="309">IF(E1179=0,"",E1184/E1179)</f>
        <v>0</v>
      </c>
      <c r="F1185" s="52">
        <f t="shared" si="309"/>
        <v>0</v>
      </c>
      <c r="G1185" s="52">
        <f t="shared" si="309"/>
        <v>0</v>
      </c>
      <c r="H1185" s="52">
        <f t="shared" si="309"/>
        <v>2.3446658851113715E-3</v>
      </c>
      <c r="I1185" s="52">
        <f t="shared" si="309"/>
        <v>0</v>
      </c>
      <c r="J1185" s="52">
        <f t="shared" si="309"/>
        <v>1.9474196689386564E-3</v>
      </c>
      <c r="K1185" s="52">
        <f t="shared" si="309"/>
        <v>1.9474196689386564E-3</v>
      </c>
      <c r="L1185" s="52">
        <f t="shared" si="309"/>
        <v>1.0822510822510823E-3</v>
      </c>
      <c r="M1185" s="52">
        <f t="shared" si="309"/>
        <v>0</v>
      </c>
      <c r="N1185" s="52" t="str">
        <f t="shared" si="309"/>
        <v/>
      </c>
      <c r="O1185" s="53" t="str">
        <f t="shared" si="309"/>
        <v/>
      </c>
      <c r="P1185" s="54">
        <f>IF(P1184="","",P1184/P1179)</f>
        <v>9.7669875819729316E-4</v>
      </c>
      <c r="Q1185" s="50"/>
      <c r="R1185" s="18"/>
    </row>
    <row r="1186" spans="2:18" ht="15.75" customHeight="1" x14ac:dyDescent="0.2">
      <c r="B1186" s="157" t="s">
        <v>97</v>
      </c>
      <c r="C1186" s="156"/>
      <c r="D1186" s="47">
        <f>VLOOKUP($B1178,[1]Complaints!$A$4:$AF$39,6,)</f>
        <v>0</v>
      </c>
      <c r="E1186" s="48">
        <f>VLOOKUP($B1178,[2]Complaints!$A$4:$AF$39,6,)</f>
        <v>0</v>
      </c>
      <c r="F1186" s="48">
        <f>VLOOKUP($B1178,[3]Complaints!$A$4:$AG$39,6,)</f>
        <v>0</v>
      </c>
      <c r="G1186" s="48">
        <f>VLOOKUP($B1178,[4]Complaints!$A$4:$AG$39,6,)</f>
        <v>0</v>
      </c>
      <c r="H1186" s="48">
        <f>VLOOKUP($B1178,[5]Complaints!$A$4:$AG$39,6,)</f>
        <v>1</v>
      </c>
      <c r="I1186" s="48">
        <f>VLOOKUP($B1178,[6]Complaints!$A$4:$AG$39,6,)</f>
        <v>0</v>
      </c>
      <c r="J1186" s="48">
        <f>VLOOKUP($B1178,[7]Complaints!$A$4:$AG$39,6,)</f>
        <v>0</v>
      </c>
      <c r="K1186" s="48">
        <f>VLOOKUP($B1178,[8]Complaints!$A$4:$AG$39,6,)</f>
        <v>0</v>
      </c>
      <c r="L1186" s="48">
        <f>VLOOKUP($B1178,[9]Complaints!$A$4:$AG$39,6,)</f>
        <v>1</v>
      </c>
      <c r="M1186" s="48">
        <f>VLOOKUP($B1178,[10]Complaints!$A$4:$AG$39,6,)</f>
        <v>0</v>
      </c>
      <c r="N1186" s="48">
        <f>VLOOKUP($B1178,[11]Complaints!$A$4:$AG$39,6,)</f>
        <v>0</v>
      </c>
      <c r="O1186" s="49">
        <f>VLOOKUP($B1178,[12]Complaints!$A$4:$AG$39,6,)</f>
        <v>0</v>
      </c>
      <c r="P1186" s="55">
        <f t="shared" ref="P1186" si="310">SUM(D1186:O1186)</f>
        <v>2</v>
      </c>
      <c r="Q1186" s="50"/>
      <c r="R1186" s="18"/>
    </row>
    <row r="1187" spans="2:18" ht="15.75" customHeight="1" thickBot="1" x14ac:dyDescent="0.25">
      <c r="B1187" s="27"/>
      <c r="C1187" s="29" t="s">
        <v>100</v>
      </c>
      <c r="D1187" s="56" t="str">
        <f>IF(D1186=0,"",D1186/D1184)</f>
        <v/>
      </c>
      <c r="E1187" s="57" t="str">
        <f t="shared" ref="E1187:H1187" si="311">IF(E1186=0,"",E1186/E1184)</f>
        <v/>
      </c>
      <c r="F1187" s="57" t="str">
        <f t="shared" si="311"/>
        <v/>
      </c>
      <c r="G1187" s="57" t="str">
        <f t="shared" si="311"/>
        <v/>
      </c>
      <c r="H1187" s="57">
        <f t="shared" si="311"/>
        <v>0.5</v>
      </c>
      <c r="I1187" s="57" t="str">
        <f>IF(I1186=0,"",I1186/I1184)</f>
        <v/>
      </c>
      <c r="J1187" s="57" t="str">
        <f t="shared" ref="J1187:O1187" si="312">IF(J1186=0,"",J1186/J1184)</f>
        <v/>
      </c>
      <c r="K1187" s="57" t="str">
        <f t="shared" si="312"/>
        <v/>
      </c>
      <c r="L1187" s="57">
        <f t="shared" si="312"/>
        <v>1</v>
      </c>
      <c r="M1187" s="57" t="str">
        <f t="shared" si="312"/>
        <v/>
      </c>
      <c r="N1187" s="57" t="str">
        <f t="shared" si="312"/>
        <v/>
      </c>
      <c r="O1187" s="58" t="str">
        <f t="shared" si="312"/>
        <v/>
      </c>
      <c r="P1187" s="59">
        <f>IF(P1186=0,"",P1186/P1184)</f>
        <v>0.2857142857142857</v>
      </c>
      <c r="Q1187" s="60"/>
      <c r="R1187" s="18"/>
    </row>
    <row r="1188" spans="2:18" ht="15.75" customHeight="1" x14ac:dyDescent="0.2">
      <c r="B1188" s="168" t="s">
        <v>103</v>
      </c>
      <c r="C1188" s="30" t="s">
        <v>77</v>
      </c>
      <c r="D1188" s="61">
        <f>VLOOKUP($B1178,[1]Complaints!$A$4:$AJ$39,7,)</f>
        <v>0</v>
      </c>
      <c r="E1188" s="43">
        <f>VLOOKUP($B1178,[2]Complaints!$A$4:$AJ$39,7,)</f>
        <v>0</v>
      </c>
      <c r="F1188" s="43">
        <f>VLOOKUP($B1178,[3]Complaints!$A$4:$AJ$39,7,)</f>
        <v>0</v>
      </c>
      <c r="G1188" s="43">
        <f>VLOOKUP($B1178,[4]Complaints!$A$4:$AJ$39,7,)</f>
        <v>0</v>
      </c>
      <c r="H1188" s="43">
        <f>VLOOKUP($B1178,[5]Complaints!$A$4:$AJ$39,7,)</f>
        <v>0</v>
      </c>
      <c r="I1188" s="43">
        <f>VLOOKUP($B1178,[6]Complaints!$A$4:$AJ$39,7,)</f>
        <v>0</v>
      </c>
      <c r="J1188" s="43">
        <f>VLOOKUP($B1178,[7]Complaints!$A$4:$AJ$39,7,)</f>
        <v>0</v>
      </c>
      <c r="K1188" s="43">
        <f>VLOOKUP($B1178,[8]Complaints!$A$4:$AJ$39,7,)</f>
        <v>0</v>
      </c>
      <c r="L1188" s="43">
        <f>VLOOKUP($B1178,[9]Complaints!$A$4:$AJ$39,7,)</f>
        <v>0</v>
      </c>
      <c r="M1188" s="43">
        <f>VLOOKUP($B1178,[10]Complaints!$A$4:$AJ$39,7,)</f>
        <v>0</v>
      </c>
      <c r="N1188" s="43">
        <f>VLOOKUP($B1178,[11]Complaints!$A$4:$AJ$39,7,)</f>
        <v>0</v>
      </c>
      <c r="O1188" s="44">
        <f>VLOOKUP($B1178,[12]Complaints!$A$4:$AJ$39,7,)</f>
        <v>0</v>
      </c>
      <c r="P1188" s="45">
        <f>SUM(D1188:O1188)</f>
        <v>0</v>
      </c>
      <c r="Q1188" s="46" t="str">
        <f>IF(P1188=0,"",P1188/$P1180)</f>
        <v/>
      </c>
      <c r="R1188" s="18"/>
    </row>
    <row r="1189" spans="2:18" ht="15.75" customHeight="1" x14ac:dyDescent="0.2">
      <c r="B1189" s="169"/>
      <c r="C1189" s="31" t="s">
        <v>89</v>
      </c>
      <c r="D1189" s="47">
        <f>VLOOKUP($B1178,[1]Complaints!$A$4:$AJ$39,8,)</f>
        <v>0</v>
      </c>
      <c r="E1189" s="48">
        <f>VLOOKUP($B1178,[2]Complaints!$A$4:$AJ$39,8,)</f>
        <v>0</v>
      </c>
      <c r="F1189" s="48">
        <f>VLOOKUP($B1178,[3]Complaints!$A$4:$AJ$39,8,)</f>
        <v>0</v>
      </c>
      <c r="G1189" s="48">
        <f>VLOOKUP($B1178,[4]Complaints!$A$4:$AJ$39,8,)</f>
        <v>0</v>
      </c>
      <c r="H1189" s="48">
        <f>VLOOKUP($B1178,[5]Complaints!$A$4:$AJ$39,8,)</f>
        <v>0</v>
      </c>
      <c r="I1189" s="48">
        <f>VLOOKUP($B1178,[6]Complaints!$A$4:$AJ$39,8,)</f>
        <v>0</v>
      </c>
      <c r="J1189" s="48">
        <f>VLOOKUP($B1178,[7]Complaints!$A$4:$AJ$39,8,)</f>
        <v>0</v>
      </c>
      <c r="K1189" s="48">
        <f>VLOOKUP($B1178,[8]Complaints!$A$4:$AJ$39,8,)</f>
        <v>0</v>
      </c>
      <c r="L1189" s="48">
        <f>VLOOKUP($B1178,[9]Complaints!$A$4:$AJ$39,8,)</f>
        <v>1</v>
      </c>
      <c r="M1189" s="48">
        <f>VLOOKUP($B1178,[10]Complaints!$A$4:$AJ$39,8,)</f>
        <v>0</v>
      </c>
      <c r="N1189" s="48">
        <f>VLOOKUP($B1178,[11]Complaints!$A$4:$AJ$39,8,)</f>
        <v>0</v>
      </c>
      <c r="O1189" s="49">
        <f>VLOOKUP($B1178,[12]Complaints!$A$4:$AJ$39,8,)</f>
        <v>0</v>
      </c>
      <c r="P1189" s="55">
        <f t="shared" ref="P1189:P1190" si="313">SUM(D1189:O1189)</f>
        <v>1</v>
      </c>
      <c r="Q1189" s="50">
        <f>IF(P1189="","",P1189/$P1180)</f>
        <v>0.125</v>
      </c>
      <c r="R1189" s="18"/>
    </row>
    <row r="1190" spans="2:18" ht="15.75" customHeight="1" x14ac:dyDescent="0.2">
      <c r="B1190" s="169"/>
      <c r="C1190" s="31" t="s">
        <v>88</v>
      </c>
      <c r="D1190" s="47">
        <f>VLOOKUP($B1178,[1]Complaints!$A$4:$AJ$39,9,)</f>
        <v>0</v>
      </c>
      <c r="E1190" s="48">
        <f>VLOOKUP($B1178,[2]Complaints!$A$4:$AJ$39,9,)</f>
        <v>0</v>
      </c>
      <c r="F1190" s="48">
        <f>VLOOKUP($B1178,[3]Complaints!$A$4:$AJ$39,9,)</f>
        <v>0</v>
      </c>
      <c r="G1190" s="48">
        <f>VLOOKUP($B1178,[4]Complaints!$A$4:$AJ$39,9,)</f>
        <v>0</v>
      </c>
      <c r="H1190" s="48">
        <f>VLOOKUP($B1178,[5]Complaints!$A$4:$AJ$39,9,)</f>
        <v>0</v>
      </c>
      <c r="I1190" s="48">
        <f>VLOOKUP($B1178,[6]Complaints!$A$4:$AJ$39,9,)</f>
        <v>0</v>
      </c>
      <c r="J1190" s="48">
        <f>VLOOKUP($B1178,[7]Complaints!$A$4:$AJ$39,9,)</f>
        <v>0</v>
      </c>
      <c r="K1190" s="48">
        <f>VLOOKUP($B1178,[8]Complaints!$A$4:$AJ$39,9,)</f>
        <v>0</v>
      </c>
      <c r="L1190" s="48">
        <f>VLOOKUP($B1178,[9]Complaints!$A$4:$AJ$39,9,)</f>
        <v>0</v>
      </c>
      <c r="M1190" s="48">
        <f>VLOOKUP($B1178,[10]Complaints!$A$4:$AJ$39,9,)</f>
        <v>0</v>
      </c>
      <c r="N1190" s="48">
        <f>VLOOKUP($B1178,[11]Complaints!$A$4:$AJ$39,9,)</f>
        <v>0</v>
      </c>
      <c r="O1190" s="49">
        <f>VLOOKUP($B1178,[12]Complaints!$A$4:$AJ$39,9,)</f>
        <v>0</v>
      </c>
      <c r="P1190" s="55">
        <f t="shared" si="313"/>
        <v>0</v>
      </c>
      <c r="Q1190" s="50" t="str">
        <f>IF(P1190=0,"",P1190/$P1180)</f>
        <v/>
      </c>
      <c r="R1190" s="18"/>
    </row>
    <row r="1191" spans="2:18" ht="15.75" customHeight="1" x14ac:dyDescent="0.2">
      <c r="B1191" s="169"/>
      <c r="C1191" s="31" t="s">
        <v>13</v>
      </c>
      <c r="D1191" s="47">
        <f>VLOOKUP($B1178,[1]Complaints!$A$4:$AJ$39,10,)</f>
        <v>0</v>
      </c>
      <c r="E1191" s="48">
        <f>VLOOKUP($B1178,[2]Complaints!$A$4:$AJ$39,10,)</f>
        <v>0</v>
      </c>
      <c r="F1191" s="48">
        <f>VLOOKUP($B1178,[3]Complaints!$A$4:$AJ$39,10,)</f>
        <v>0</v>
      </c>
      <c r="G1191" s="48">
        <f>VLOOKUP($B1178,[4]Complaints!$A$4:$AJ$39,10,)</f>
        <v>0</v>
      </c>
      <c r="H1191" s="48">
        <f>VLOOKUP($B1178,[5]Complaints!$A$4:$AJ$39,10,)</f>
        <v>0</v>
      </c>
      <c r="I1191" s="48">
        <f>VLOOKUP($B1178,[6]Complaints!$A$4:$AJ$39,10,)</f>
        <v>0</v>
      </c>
      <c r="J1191" s="48">
        <f>VLOOKUP($B1178,[7]Complaints!$A$4:$AJ$39,10,)</f>
        <v>0</v>
      </c>
      <c r="K1191" s="48">
        <f>VLOOKUP($B1178,[8]Complaints!$A$4:$AJ$39,10,)</f>
        <v>0</v>
      </c>
      <c r="L1191" s="48">
        <f>VLOOKUP($B1178,[9]Complaints!$A$4:$AJ$39,10,)</f>
        <v>1</v>
      </c>
      <c r="M1191" s="48">
        <f>VLOOKUP($B1178,[10]Complaints!$A$4:$AJ$39,10,)</f>
        <v>0</v>
      </c>
      <c r="N1191" s="48">
        <f>VLOOKUP($B1178,[11]Complaints!$A$4:$AJ$39,10,)</f>
        <v>0</v>
      </c>
      <c r="O1191" s="49">
        <f>VLOOKUP($B1178,[12]Complaints!$A$4:$AJ$39,10,)</f>
        <v>0</v>
      </c>
      <c r="P1191" s="55">
        <f>SUM(D1191:O1191)</f>
        <v>1</v>
      </c>
      <c r="Q1191" s="50">
        <f>IF(P1191=0,"",P1191/$P1180)</f>
        <v>0.125</v>
      </c>
      <c r="R1191" s="18"/>
    </row>
    <row r="1192" spans="2:18" ht="15.75" customHeight="1" x14ac:dyDescent="0.2">
      <c r="B1192" s="169"/>
      <c r="C1192" s="31" t="s">
        <v>101</v>
      </c>
      <c r="D1192" s="47">
        <f>VLOOKUP($B1178,[1]Complaints!$A$4:$AJ$39,11,)</f>
        <v>0</v>
      </c>
      <c r="E1192" s="48">
        <f>VLOOKUP($B1178,[2]Complaints!$A$4:$AJ$39,11,)</f>
        <v>0</v>
      </c>
      <c r="F1192" s="48">
        <f>VLOOKUP($B1178,[3]Complaints!$A$4:$AJ$39,11,)</f>
        <v>0</v>
      </c>
      <c r="G1192" s="48">
        <f>VLOOKUP($B1178,[4]Complaints!$A$4:$AJ$39,11,)</f>
        <v>0</v>
      </c>
      <c r="H1192" s="48">
        <f>VLOOKUP($B1178,[5]Complaints!$A$4:$AJ$39,11,)</f>
        <v>0</v>
      </c>
      <c r="I1192" s="48">
        <f>VLOOKUP($B1178,[6]Complaints!$A$4:$AJ$39,11,)</f>
        <v>0</v>
      </c>
      <c r="J1192" s="48">
        <f>VLOOKUP($B1178,[7]Complaints!$A$4:$AJ$39,11,)</f>
        <v>0</v>
      </c>
      <c r="K1192" s="48">
        <f>VLOOKUP($B1178,[8]Complaints!$A$4:$AJ$39,11,)</f>
        <v>0</v>
      </c>
      <c r="L1192" s="48">
        <f>VLOOKUP($B1178,[9]Complaints!$A$4:$AJ$39,11,)</f>
        <v>0</v>
      </c>
      <c r="M1192" s="48">
        <f>VLOOKUP($B1178,[10]Complaints!$A$4:$AJ$39,11,)</f>
        <v>0</v>
      </c>
      <c r="N1192" s="48">
        <f>VLOOKUP($B1178,[11]Complaints!$A$4:$AJ$39,11,)</f>
        <v>0</v>
      </c>
      <c r="O1192" s="49">
        <f>VLOOKUP($B1178,[12]Complaints!$A$4:$AJ$39,11,)</f>
        <v>0</v>
      </c>
      <c r="P1192" s="55">
        <f t="shared" ref="P1192:P1201" si="314">SUM(D1192:O1192)</f>
        <v>0</v>
      </c>
      <c r="Q1192" s="50" t="str">
        <f>IF(P1192=0,"",P1192/$P1180)</f>
        <v/>
      </c>
      <c r="R1192" s="18"/>
    </row>
    <row r="1193" spans="2:18" s="19" customFormat="1" ht="15.75" customHeight="1" x14ac:dyDescent="0.2">
      <c r="B1193" s="169"/>
      <c r="C1193" s="31" t="s">
        <v>93</v>
      </c>
      <c r="D1193" s="47">
        <f>VLOOKUP($B1178,[1]Complaints!$A$4:$AJ$39,12,)</f>
        <v>0</v>
      </c>
      <c r="E1193" s="48">
        <f>VLOOKUP($B1178,[2]Complaints!$A$4:$AJ$39,12,)</f>
        <v>0</v>
      </c>
      <c r="F1193" s="48">
        <f>VLOOKUP($B1178,[3]Complaints!$A$4:$AJ$39,12,)</f>
        <v>0</v>
      </c>
      <c r="G1193" s="48">
        <f>VLOOKUP($B1178,[4]Complaints!$A$4:$AJ$39,12,)</f>
        <v>0</v>
      </c>
      <c r="H1193" s="48">
        <f>VLOOKUP($B1178,[5]Complaints!$A$4:$AJ$39,12,)</f>
        <v>1</v>
      </c>
      <c r="I1193" s="48">
        <f>VLOOKUP($B1178,[6]Complaints!$A$4:$AJ$39,12,)</f>
        <v>0</v>
      </c>
      <c r="J1193" s="48">
        <f>VLOOKUP($B1178,[7]Complaints!$A$4:$AJ$39,12,)</f>
        <v>1</v>
      </c>
      <c r="K1193" s="48">
        <f>VLOOKUP($B1178,[8]Complaints!$A$4:$AJ$39,12,)</f>
        <v>0</v>
      </c>
      <c r="L1193" s="48">
        <f>VLOOKUP($B1178,[9]Complaints!$A$4:$AJ$39,12,)</f>
        <v>0</v>
      </c>
      <c r="M1193" s="48">
        <f>VLOOKUP($B1178,[10]Complaints!$A$4:$AJ$39,12,)</f>
        <v>0</v>
      </c>
      <c r="N1193" s="48">
        <f>VLOOKUP($B1178,[11]Complaints!$A$4:$AJ$39,12,)</f>
        <v>0</v>
      </c>
      <c r="O1193" s="49">
        <f>VLOOKUP($B1178,[12]Complaints!$A$4:$AJ$39,12,)</f>
        <v>0</v>
      </c>
      <c r="P1193" s="55">
        <f t="shared" si="314"/>
        <v>2</v>
      </c>
      <c r="Q1193" s="50">
        <f>IF(P1193=0,"",P1193/$P1180)</f>
        <v>0.25</v>
      </c>
    </row>
    <row r="1194" spans="2:18" ht="15.75" customHeight="1" x14ac:dyDescent="0.2">
      <c r="B1194" s="169"/>
      <c r="C1194" s="31" t="s">
        <v>78</v>
      </c>
      <c r="D1194" s="47">
        <f>VLOOKUP($B1178,[1]Complaints!$A$4:$AJ$39,13,)</f>
        <v>0</v>
      </c>
      <c r="E1194" s="48">
        <f>VLOOKUP($B1178,[2]Complaints!$A$4:$AJ$39,13,)</f>
        <v>0</v>
      </c>
      <c r="F1194" s="48">
        <f>VLOOKUP($B1178,[3]Complaints!$A$4:$AJ$39,13,)</f>
        <v>0</v>
      </c>
      <c r="G1194" s="48">
        <f>VLOOKUP($B1178,[4]Complaints!$A$4:$AJ$39,13,)</f>
        <v>0</v>
      </c>
      <c r="H1194" s="48">
        <f>VLOOKUP($B1178,[5]Complaints!$A$4:$AJ$39,13,)</f>
        <v>0</v>
      </c>
      <c r="I1194" s="48">
        <f>VLOOKUP($B1178,[6]Complaints!$A$4:$AJ$39,13,)</f>
        <v>0</v>
      </c>
      <c r="J1194" s="48">
        <f>VLOOKUP($B1178,[7]Complaints!$A$4:$AJ$39,13,)</f>
        <v>0</v>
      </c>
      <c r="K1194" s="48">
        <f>VLOOKUP($B1178,[8]Complaints!$A$4:$AJ$39,13,)</f>
        <v>0</v>
      </c>
      <c r="L1194" s="48">
        <f>VLOOKUP($B1178,[9]Complaints!$A$4:$AJ$39,13,)</f>
        <v>0</v>
      </c>
      <c r="M1194" s="48">
        <f>VLOOKUP($B1178,[10]Complaints!$A$4:$AJ$39,13,)</f>
        <v>0</v>
      </c>
      <c r="N1194" s="48">
        <f>VLOOKUP($B1178,[11]Complaints!$A$4:$AJ$39,13,)</f>
        <v>0</v>
      </c>
      <c r="O1194" s="49">
        <f>VLOOKUP($B1178,[12]Complaints!$A$4:$AJ$39,13,)</f>
        <v>0</v>
      </c>
      <c r="P1194" s="55">
        <f t="shared" si="314"/>
        <v>0</v>
      </c>
      <c r="Q1194" s="50" t="str">
        <f>IF(P1194=0,"",P1194/$P1180)</f>
        <v/>
      </c>
      <c r="R1194" s="18"/>
    </row>
    <row r="1195" spans="2:18" ht="15.75" customHeight="1" x14ac:dyDescent="0.2">
      <c r="B1195" s="169"/>
      <c r="C1195" s="31" t="s">
        <v>92</v>
      </c>
      <c r="D1195" s="47">
        <f>VLOOKUP($B1178,[1]Complaints!$A$4:$AJ$39,14,)</f>
        <v>0</v>
      </c>
      <c r="E1195" s="48">
        <f>VLOOKUP($B1178,[2]Complaints!$A$4:$AJ$39,14,)</f>
        <v>0</v>
      </c>
      <c r="F1195" s="48">
        <f>VLOOKUP($B1178,[3]Complaints!$A$4:$AJ$39,14,)</f>
        <v>0</v>
      </c>
      <c r="G1195" s="48">
        <f>VLOOKUP($B1178,[4]Complaints!$A$4:$AJ$39,14,)</f>
        <v>0</v>
      </c>
      <c r="H1195" s="48">
        <f>VLOOKUP($B1178,[5]Complaints!$A$4:$AJ$39,14,)</f>
        <v>0</v>
      </c>
      <c r="I1195" s="48">
        <f>VLOOKUP($B1178,[6]Complaints!$A$4:$AJ$39,14,)</f>
        <v>0</v>
      </c>
      <c r="J1195" s="48">
        <f>VLOOKUP($B1178,[7]Complaints!$A$4:$AJ$39,14,)</f>
        <v>0</v>
      </c>
      <c r="K1195" s="48">
        <f>VLOOKUP($B1178,[8]Complaints!$A$4:$AJ$39,14,)</f>
        <v>0</v>
      </c>
      <c r="L1195" s="48">
        <f>VLOOKUP($B1178,[9]Complaints!$A$4:$AJ$39,14,)</f>
        <v>0</v>
      </c>
      <c r="M1195" s="48">
        <f>VLOOKUP($B1178,[10]Complaints!$A$4:$AJ$39,14,)</f>
        <v>0</v>
      </c>
      <c r="N1195" s="48">
        <f>VLOOKUP($B1178,[11]Complaints!$A$4:$AJ$39,14,)</f>
        <v>0</v>
      </c>
      <c r="O1195" s="49">
        <f>VLOOKUP($B1178,[12]Complaints!$A$4:$AJ$39,14,)</f>
        <v>0</v>
      </c>
      <c r="P1195" s="55">
        <f t="shared" si="314"/>
        <v>0</v>
      </c>
      <c r="Q1195" s="50" t="str">
        <f>IF(P1195=0,"",P1195/$P1180)</f>
        <v/>
      </c>
      <c r="R1195" s="18"/>
    </row>
    <row r="1196" spans="2:18" ht="15.75" customHeight="1" x14ac:dyDescent="0.2">
      <c r="B1196" s="169"/>
      <c r="C1196" s="31" t="s">
        <v>91</v>
      </c>
      <c r="D1196" s="47">
        <f>VLOOKUP($B1178,[1]Complaints!$A$4:$AJ$39,15,)</f>
        <v>0</v>
      </c>
      <c r="E1196" s="48">
        <f>VLOOKUP($B1178,[2]Complaints!$A$4:$AJ$39,15,)</f>
        <v>0</v>
      </c>
      <c r="F1196" s="48">
        <f>VLOOKUP($B1178,[3]Complaints!$A$4:$AJ$39,15,)</f>
        <v>0</v>
      </c>
      <c r="G1196" s="48">
        <f>VLOOKUP($B1178,[4]Complaints!$A$4:$AJ$39,15,)</f>
        <v>0</v>
      </c>
      <c r="H1196" s="48">
        <f>VLOOKUP($B1178,[5]Complaints!$A$4:$AJ$39,15,)</f>
        <v>1</v>
      </c>
      <c r="I1196" s="48">
        <f>VLOOKUP($B1178,[6]Complaints!$A$4:$AJ$39,15,)</f>
        <v>0</v>
      </c>
      <c r="J1196" s="48">
        <f>VLOOKUP($B1178,[7]Complaints!$A$4:$AJ$39,15,)</f>
        <v>1</v>
      </c>
      <c r="K1196" s="48">
        <f>VLOOKUP($B1178,[8]Complaints!$A$4:$AJ$39,15,)</f>
        <v>0</v>
      </c>
      <c r="L1196" s="48">
        <f>VLOOKUP($B1178,[9]Complaints!$A$4:$AJ$39,15,)</f>
        <v>0</v>
      </c>
      <c r="M1196" s="48">
        <f>VLOOKUP($B1178,[10]Complaints!$A$4:$AJ$39,15,)</f>
        <v>0</v>
      </c>
      <c r="N1196" s="48">
        <f>VLOOKUP($B1178,[11]Complaints!$A$4:$AJ$39,15,)</f>
        <v>0</v>
      </c>
      <c r="O1196" s="49">
        <f>VLOOKUP($B1178,[12]Complaints!$A$4:$AJ$39,15,)</f>
        <v>0</v>
      </c>
      <c r="P1196" s="55">
        <f t="shared" si="314"/>
        <v>2</v>
      </c>
      <c r="Q1196" s="50">
        <f>IF(P1196=0,"",P1196/$P1180)</f>
        <v>0.25</v>
      </c>
      <c r="R1196" s="18"/>
    </row>
    <row r="1197" spans="2:18" ht="15.75" customHeight="1" x14ac:dyDescent="0.2">
      <c r="B1197" s="169"/>
      <c r="C1197" s="31" t="s">
        <v>79</v>
      </c>
      <c r="D1197" s="47">
        <f>VLOOKUP($B1178,[1]Complaints!$A$4:$AJ$39,16,)</f>
        <v>0</v>
      </c>
      <c r="E1197" s="48">
        <f>VLOOKUP($B1178,[2]Complaints!$A$4:$AJ$39,16,)</f>
        <v>0</v>
      </c>
      <c r="F1197" s="48">
        <f>VLOOKUP($B1178,[3]Complaints!$A$4:$AJ$39,16,)</f>
        <v>0</v>
      </c>
      <c r="G1197" s="48">
        <f>VLOOKUP($B1178,[4]Complaints!$A$4:$AJ$39,16,)</f>
        <v>0</v>
      </c>
      <c r="H1197" s="48">
        <f>VLOOKUP($B1178,[5]Complaints!$A$4:$AJ$39,16,)</f>
        <v>0</v>
      </c>
      <c r="I1197" s="48">
        <f>VLOOKUP($B1178,[6]Complaints!$A$4:$AJ$39,16,)</f>
        <v>0</v>
      </c>
      <c r="J1197" s="48">
        <f>VLOOKUP($B1178,[7]Complaints!$A$4:$AJ$39,16,)</f>
        <v>0</v>
      </c>
      <c r="K1197" s="48">
        <f>VLOOKUP($B1178,[8]Complaints!$A$4:$AJ$39,16,)</f>
        <v>0</v>
      </c>
      <c r="L1197" s="48">
        <f>VLOOKUP($B1178,[9]Complaints!$A$4:$AJ$39,16,)</f>
        <v>0</v>
      </c>
      <c r="M1197" s="48">
        <f>VLOOKUP($B1178,[10]Complaints!$A$4:$AJ$39,16,)</f>
        <v>0</v>
      </c>
      <c r="N1197" s="48">
        <f>VLOOKUP($B1178,[11]Complaints!$A$4:$AJ$39,16,)</f>
        <v>0</v>
      </c>
      <c r="O1197" s="49">
        <f>VLOOKUP($B1178,[12]Complaints!$A$4:$AJ$39,16,)</f>
        <v>0</v>
      </c>
      <c r="P1197" s="55">
        <f t="shared" si="314"/>
        <v>0</v>
      </c>
      <c r="Q1197" s="50" t="str">
        <f>IF(P1197=0,"",P1197/$P1180)</f>
        <v/>
      </c>
      <c r="R1197" s="18"/>
    </row>
    <row r="1198" spans="2:18" ht="15.75" customHeight="1" x14ac:dyDescent="0.2">
      <c r="B1198" s="169"/>
      <c r="C1198" s="31" t="s">
        <v>80</v>
      </c>
      <c r="D1198" s="47">
        <f>VLOOKUP($B1178,[1]Complaints!$A$4:$AJ$39,17,)</f>
        <v>0</v>
      </c>
      <c r="E1198" s="48">
        <f>VLOOKUP($B1178,[2]Complaints!$A$4:$AJ$39,17,)</f>
        <v>0</v>
      </c>
      <c r="F1198" s="48">
        <f>VLOOKUP($B1178,[3]Complaints!$A$4:$AJ$39,17,)</f>
        <v>0</v>
      </c>
      <c r="G1198" s="48">
        <f>VLOOKUP($B1178,[4]Complaints!$A$4:$AJ$39,17,)</f>
        <v>0</v>
      </c>
      <c r="H1198" s="48">
        <f>VLOOKUP($B1178,[5]Complaints!$A$4:$AJ$39,17,)</f>
        <v>0</v>
      </c>
      <c r="I1198" s="48">
        <f>VLOOKUP($B1178,[6]Complaints!$A$4:$AJ$39,17,)</f>
        <v>0</v>
      </c>
      <c r="J1198" s="48">
        <f>VLOOKUP($B1178,[7]Complaints!$A$4:$AJ$39,17,)</f>
        <v>0</v>
      </c>
      <c r="K1198" s="48">
        <f>VLOOKUP($B1178,[8]Complaints!$A$4:$AJ$39,17,)</f>
        <v>0</v>
      </c>
      <c r="L1198" s="48">
        <f>VLOOKUP($B1178,[9]Complaints!$A$4:$AJ$39,17,)</f>
        <v>0</v>
      </c>
      <c r="M1198" s="48">
        <f>VLOOKUP($B1178,[10]Complaints!$A$4:$AJ$39,17,)</f>
        <v>0</v>
      </c>
      <c r="N1198" s="48">
        <f>VLOOKUP($B1178,[11]Complaints!$A$4:$AJ$39,17,)</f>
        <v>0</v>
      </c>
      <c r="O1198" s="49">
        <f>VLOOKUP($B1178,[12]Complaints!$A$4:$AJ$39,17,)</f>
        <v>0</v>
      </c>
      <c r="P1198" s="55">
        <f t="shared" si="314"/>
        <v>0</v>
      </c>
      <c r="Q1198" s="50" t="str">
        <f>IF(P1198=0,"",P1198/$P1180)</f>
        <v/>
      </c>
      <c r="R1198" s="18"/>
    </row>
    <row r="1199" spans="2:18" ht="15.75" customHeight="1" x14ac:dyDescent="0.2">
      <c r="B1199" s="169"/>
      <c r="C1199" s="31" t="s">
        <v>81</v>
      </c>
      <c r="D1199" s="47">
        <f>VLOOKUP($B1178,[1]Complaints!$A$4:$AJ$39,18,)</f>
        <v>0</v>
      </c>
      <c r="E1199" s="48">
        <f>VLOOKUP($B1178,[2]Complaints!$A$4:$AJ$39,18,)</f>
        <v>0</v>
      </c>
      <c r="F1199" s="48">
        <f>VLOOKUP($B1178,[3]Complaints!$A$4:$AJ$39,18,)</f>
        <v>0</v>
      </c>
      <c r="G1199" s="48">
        <f>VLOOKUP($B1178,[4]Complaints!$A$4:$AJ$39,18,)</f>
        <v>0</v>
      </c>
      <c r="H1199" s="48">
        <f>VLOOKUP($B1178,[5]Complaints!$A$4:$AJ$39,18,)</f>
        <v>0</v>
      </c>
      <c r="I1199" s="48">
        <f>VLOOKUP($B1178,[6]Complaints!$A$4:$AJ$39,18,)</f>
        <v>0</v>
      </c>
      <c r="J1199" s="48">
        <f>VLOOKUP($B1178,[7]Complaints!$A$4:$AJ$39,18,)</f>
        <v>0</v>
      </c>
      <c r="K1199" s="48">
        <f>VLOOKUP($B1178,[8]Complaints!$A$4:$AJ$39,18,)</f>
        <v>0</v>
      </c>
      <c r="L1199" s="48">
        <f>VLOOKUP($B1178,[9]Complaints!$A$4:$AJ$39,18,)</f>
        <v>0</v>
      </c>
      <c r="M1199" s="48">
        <f>VLOOKUP($B1178,[10]Complaints!$A$4:$AJ$39,18,)</f>
        <v>0</v>
      </c>
      <c r="N1199" s="48">
        <f>VLOOKUP($B1178,[11]Complaints!$A$4:$AJ$39,18,)</f>
        <v>0</v>
      </c>
      <c r="O1199" s="49">
        <f>VLOOKUP($B1178,[12]Complaints!$A$4:$AJ$39,18,)</f>
        <v>0</v>
      </c>
      <c r="P1199" s="55">
        <f t="shared" si="314"/>
        <v>0</v>
      </c>
      <c r="Q1199" s="50" t="str">
        <f>IF(P1199=0,"",P1199/$P1180)</f>
        <v/>
      </c>
      <c r="R1199" s="18"/>
    </row>
    <row r="1200" spans="2:18" ht="15.75" customHeight="1" x14ac:dyDescent="0.2">
      <c r="B1200" s="169"/>
      <c r="C1200" s="31" t="s">
        <v>82</v>
      </c>
      <c r="D1200" s="47">
        <f>VLOOKUP($B1178,[1]Complaints!$A$4:$AJ$39,19,)</f>
        <v>0</v>
      </c>
      <c r="E1200" s="48">
        <f>VLOOKUP($B1178,[2]Complaints!$A$4:$AJ$39,19,)</f>
        <v>0</v>
      </c>
      <c r="F1200" s="48">
        <f>VLOOKUP($B1178,[3]Complaints!$A$4:$AJ$39,19,)</f>
        <v>0</v>
      </c>
      <c r="G1200" s="48">
        <f>VLOOKUP($B1178,[4]Complaints!$A$4:$AJ$39,19,)</f>
        <v>0</v>
      </c>
      <c r="H1200" s="48">
        <f>VLOOKUP($B1178,[5]Complaints!$A$4:$AJ$39,19,)</f>
        <v>0</v>
      </c>
      <c r="I1200" s="48">
        <f>VLOOKUP($B1178,[6]Complaints!$A$4:$AJ$39,19,)</f>
        <v>0</v>
      </c>
      <c r="J1200" s="48">
        <f>VLOOKUP($B1178,[7]Complaints!$A$4:$AJ$39,19,)</f>
        <v>0</v>
      </c>
      <c r="K1200" s="48">
        <f>VLOOKUP($B1178,[8]Complaints!$A$4:$AJ$39,19,)</f>
        <v>0</v>
      </c>
      <c r="L1200" s="48">
        <f>VLOOKUP($B1178,[9]Complaints!$A$4:$AJ$39,19,)</f>
        <v>0</v>
      </c>
      <c r="M1200" s="48">
        <f>VLOOKUP($B1178,[10]Complaints!$A$4:$AJ$39,19,)</f>
        <v>0</v>
      </c>
      <c r="N1200" s="48">
        <f>VLOOKUP($B1178,[11]Complaints!$A$4:$AJ$39,19,)</f>
        <v>0</v>
      </c>
      <c r="O1200" s="49">
        <f>VLOOKUP($B1178,[12]Complaints!$A$4:$AJ$39,19,)</f>
        <v>0</v>
      </c>
      <c r="P1200" s="55">
        <f t="shared" si="314"/>
        <v>0</v>
      </c>
      <c r="Q1200" s="50" t="str">
        <f>IF(P1200=0,"",P1200/$P1180)</f>
        <v/>
      </c>
      <c r="R1200" s="18"/>
    </row>
    <row r="1201" spans="1:19" ht="15.75" customHeight="1" thickBot="1" x14ac:dyDescent="0.25">
      <c r="B1201" s="170"/>
      <c r="C1201" s="31" t="s">
        <v>83</v>
      </c>
      <c r="D1201" s="47">
        <f>VLOOKUP($B1178,[1]Complaints!$A$4:$AJ$39,20,)</f>
        <v>0</v>
      </c>
      <c r="E1201" s="48">
        <f>VLOOKUP($B1178,[2]Complaints!$A$4:$AJ$39,20,)</f>
        <v>0</v>
      </c>
      <c r="F1201" s="48">
        <f>VLOOKUP($B1178,[3]Complaints!$A$4:$AJ$39,20,)</f>
        <v>0</v>
      </c>
      <c r="G1201" s="48">
        <f>VLOOKUP($B1178,[4]Complaints!$A$4:$AJ$39,20,)</f>
        <v>0</v>
      </c>
      <c r="H1201" s="48">
        <f>VLOOKUP($B1178,[5]Complaints!$A$4:$AJ$39,20,)</f>
        <v>0</v>
      </c>
      <c r="I1201" s="48">
        <f>VLOOKUP($B1178,[6]Complaints!$A$4:$AJ$39,20,)</f>
        <v>0</v>
      </c>
      <c r="J1201" s="48">
        <f>VLOOKUP($B1178,[7]Complaints!$A$4:$AJ$39,20,)</f>
        <v>0</v>
      </c>
      <c r="K1201" s="48">
        <f>VLOOKUP($B1178,[8]Complaints!$A$4:$AJ$39,20,)</f>
        <v>0</v>
      </c>
      <c r="L1201" s="48">
        <f>VLOOKUP($B1178,[9]Complaints!$A$4:$AJ$39,20,)</f>
        <v>0</v>
      </c>
      <c r="M1201" s="48">
        <f>VLOOKUP($B1178,[10]Complaints!$A$4:$AJ$39,20,)</f>
        <v>0</v>
      </c>
      <c r="N1201" s="48">
        <f>VLOOKUP($B1178,[11]Complaints!$A$4:$AJ$39,20,)</f>
        <v>0</v>
      </c>
      <c r="O1201" s="49">
        <f>VLOOKUP($B1178,[12]Complaints!$A$4:$AJ$39,20,)</f>
        <v>0</v>
      </c>
      <c r="P1201" s="55">
        <f t="shared" si="314"/>
        <v>0</v>
      </c>
      <c r="Q1201" s="50" t="str">
        <f>IF(P1201=0,"",P1201/$P1180)</f>
        <v/>
      </c>
      <c r="R1201" s="18"/>
    </row>
    <row r="1202" spans="1:19" ht="15.75" customHeight="1" x14ac:dyDescent="0.2">
      <c r="B1202" s="144" t="s">
        <v>90</v>
      </c>
      <c r="C1202" s="37" t="s">
        <v>118</v>
      </c>
      <c r="D1202" s="62">
        <f>VLOOKUP($B1178,[1]Complaints!$A$4:$AJ$39,21,)</f>
        <v>0</v>
      </c>
      <c r="E1202" s="63">
        <f>VLOOKUP($B1178,[2]Complaints!$A$4:$AJ$39,21,)</f>
        <v>0</v>
      </c>
      <c r="F1202" s="63">
        <f>VLOOKUP($B1178,[3]Complaints!$A$4:$AJ$39,21,)</f>
        <v>0</v>
      </c>
      <c r="G1202" s="63">
        <f>VLOOKUP($B1178,[4]Complaints!$A$4:$AJ$39,21,)</f>
        <v>0</v>
      </c>
      <c r="H1202" s="63">
        <f>VLOOKUP($B1178,[5]Complaints!$A$4:$AJ$39,21,)</f>
        <v>0</v>
      </c>
      <c r="I1202" s="63">
        <f>VLOOKUP($B1178,[6]Complaints!$A$4:$AJ$39,21,)</f>
        <v>0</v>
      </c>
      <c r="J1202" s="63">
        <f>VLOOKUP($B1178,[7]Complaints!$A$4:$AJ$39,21,)</f>
        <v>0</v>
      </c>
      <c r="K1202" s="63">
        <f>VLOOKUP($B1178,[8]Complaints!$A$4:$AJ$39,21,)</f>
        <v>0</v>
      </c>
      <c r="L1202" s="63">
        <f>VLOOKUP($B1178,[9]Complaints!$A$4:$AJ$39,21,)</f>
        <v>1</v>
      </c>
      <c r="M1202" s="63">
        <f>VLOOKUP($B1178,[10]Complaints!$A$4:$AJ$39,21,)</f>
        <v>0</v>
      </c>
      <c r="N1202" s="63">
        <f>VLOOKUP($B1178,[11]Complaints!$A$4:$AJ$39,21,)</f>
        <v>0</v>
      </c>
      <c r="O1202" s="64">
        <f>VLOOKUP($B1178,[12]Complaints!$A$4:$AJ$39,21,)</f>
        <v>0</v>
      </c>
      <c r="P1202" s="65">
        <f>SUM(D1202:O1202)</f>
        <v>1</v>
      </c>
      <c r="Q1202" s="46">
        <f>IF(P1202=0,"",P1202/$P1186)</f>
        <v>0.5</v>
      </c>
      <c r="R1202" s="18"/>
    </row>
    <row r="1203" spans="1:19" ht="15.75" customHeight="1" x14ac:dyDescent="0.2">
      <c r="B1203" s="145"/>
      <c r="C1203" s="38" t="s">
        <v>77</v>
      </c>
      <c r="D1203" s="66">
        <f>VLOOKUP($B1178,[1]Complaints!$A$4:$AJ$39,22,)</f>
        <v>0</v>
      </c>
      <c r="E1203" s="67">
        <f>VLOOKUP($B1178,[2]Complaints!$A$4:$AJ$39,22,)</f>
        <v>0</v>
      </c>
      <c r="F1203" s="67">
        <f>VLOOKUP($B1178,[3]Complaints!$A$4:$AJ$39,22,)</f>
        <v>0</v>
      </c>
      <c r="G1203" s="67">
        <f>VLOOKUP($B1178,[4]Complaints!$A$4:$AJ$39,22,)</f>
        <v>0</v>
      </c>
      <c r="H1203" s="67">
        <f>VLOOKUP($B1178,[5]Complaints!$A$4:$AJ$39,22,)</f>
        <v>0</v>
      </c>
      <c r="I1203" s="67">
        <f>VLOOKUP($B1178,[6]Complaints!$A$4:$AJ$39,22,)</f>
        <v>0</v>
      </c>
      <c r="J1203" s="67">
        <f>VLOOKUP($B1178,[7]Complaints!$A$4:$AJ$39,22,)</f>
        <v>0</v>
      </c>
      <c r="K1203" s="67">
        <f>VLOOKUP($B1178,[8]Complaints!$A$4:$AJ$39,22,)</f>
        <v>0</v>
      </c>
      <c r="L1203" s="67">
        <f>VLOOKUP($B1178,[9]Complaints!$A$4:$AJ$39,22,)</f>
        <v>0</v>
      </c>
      <c r="M1203" s="67">
        <f>VLOOKUP($B1178,[10]Complaints!$A$4:$AJ$39,22,)</f>
        <v>0</v>
      </c>
      <c r="N1203" s="67">
        <f>VLOOKUP($B1178,[11]Complaints!$A$4:$AJ$39,22,)</f>
        <v>0</v>
      </c>
      <c r="O1203" s="68">
        <f>VLOOKUP($B1178,[12]Complaints!$A$4:$AJ$39,22,)</f>
        <v>0</v>
      </c>
      <c r="P1203" s="69">
        <f t="shared" ref="P1203:P1217" si="315">SUM(D1203:O1203)</f>
        <v>0</v>
      </c>
      <c r="Q1203" s="70" t="str">
        <f>IF(P1203=0,"",P1203/$P1186)</f>
        <v/>
      </c>
      <c r="R1203" s="18"/>
    </row>
    <row r="1204" spans="1:19" ht="15.75" customHeight="1" x14ac:dyDescent="0.2">
      <c r="B1204" s="145"/>
      <c r="C1204" s="38" t="s">
        <v>108</v>
      </c>
      <c r="D1204" s="66">
        <f>VLOOKUP($B1178,[1]Complaints!$A$4:$AJ$39,23,)</f>
        <v>0</v>
      </c>
      <c r="E1204" s="67">
        <f>VLOOKUP($B1178,[2]Complaints!$A$4:$AJ$39,23,)</f>
        <v>0</v>
      </c>
      <c r="F1204" s="67">
        <f>VLOOKUP($B1178,[3]Complaints!$A$4:$AJ$39,23,)</f>
        <v>0</v>
      </c>
      <c r="G1204" s="67">
        <f>VLOOKUP($B1178,[4]Complaints!$A$4:$AJ$39,23,)</f>
        <v>0</v>
      </c>
      <c r="H1204" s="67">
        <f>VLOOKUP($B1178,[5]Complaints!$A$4:$AJ$39,23,)</f>
        <v>0</v>
      </c>
      <c r="I1204" s="67">
        <f>VLOOKUP($B1178,[6]Complaints!$A$4:$AJ$39,23,)</f>
        <v>0</v>
      </c>
      <c r="J1204" s="67">
        <f>VLOOKUP($B1178,[7]Complaints!$A$4:$AJ$39,23,)</f>
        <v>0</v>
      </c>
      <c r="K1204" s="67">
        <f>VLOOKUP($B1178,[8]Complaints!$A$4:$AJ$39,23,)</f>
        <v>0</v>
      </c>
      <c r="L1204" s="67">
        <f>VLOOKUP($B1178,[9]Complaints!$A$4:$AJ$39,23,)</f>
        <v>1</v>
      </c>
      <c r="M1204" s="67">
        <f>VLOOKUP($B1178,[10]Complaints!$A$4:$AJ$39,23,)</f>
        <v>0</v>
      </c>
      <c r="N1204" s="67">
        <f>VLOOKUP($B1178,[11]Complaints!$A$4:$AJ$39,23,)</f>
        <v>0</v>
      </c>
      <c r="O1204" s="68">
        <f>VLOOKUP($B1178,[12]Complaints!$A$4:$AJ$39,23,)</f>
        <v>0</v>
      </c>
      <c r="P1204" s="69">
        <f t="shared" si="315"/>
        <v>1</v>
      </c>
      <c r="Q1204" s="70">
        <f>IF(P1204=0,"",P1204/$P1186)</f>
        <v>0.5</v>
      </c>
      <c r="R1204" s="18"/>
    </row>
    <row r="1205" spans="1:19" ht="15.75" customHeight="1" x14ac:dyDescent="0.2">
      <c r="B1205" s="145"/>
      <c r="C1205" s="38" t="s">
        <v>88</v>
      </c>
      <c r="D1205" s="66">
        <f>VLOOKUP($B1178,[1]Complaints!$A$4:$AJ$39,24,)</f>
        <v>0</v>
      </c>
      <c r="E1205" s="67">
        <f>VLOOKUP($B1178,[2]Complaints!$A$4:$AJ$39,24,)</f>
        <v>0</v>
      </c>
      <c r="F1205" s="67">
        <f>VLOOKUP($B1178,[3]Complaints!$A$4:$AJ$39,24,)</f>
        <v>0</v>
      </c>
      <c r="G1205" s="67">
        <f>VLOOKUP($B1178,[4]Complaints!$A$4:$AJ$39,24,)</f>
        <v>0</v>
      </c>
      <c r="H1205" s="67">
        <f>VLOOKUP($B1178,[5]Complaints!$A$4:$AJ$39,24,)</f>
        <v>0</v>
      </c>
      <c r="I1205" s="67">
        <f>VLOOKUP($B1178,[6]Complaints!$A$4:$AJ$39,24,)</f>
        <v>0</v>
      </c>
      <c r="J1205" s="67">
        <f>VLOOKUP($B1178,[7]Complaints!$A$4:$AJ$39,24,)</f>
        <v>0</v>
      </c>
      <c r="K1205" s="67">
        <f>VLOOKUP($B1178,[8]Complaints!$A$4:$AJ$39,24,)</f>
        <v>0</v>
      </c>
      <c r="L1205" s="67">
        <f>VLOOKUP($B1178,[9]Complaints!$A$4:$AJ$39,24,)</f>
        <v>0</v>
      </c>
      <c r="M1205" s="67">
        <f>VLOOKUP($B1178,[10]Complaints!$A$4:$AJ$39,24,)</f>
        <v>0</v>
      </c>
      <c r="N1205" s="67">
        <f>VLOOKUP($B1178,[11]Complaints!$A$4:$AJ$39,24,)</f>
        <v>0</v>
      </c>
      <c r="O1205" s="68">
        <f>VLOOKUP($B1178,[12]Complaints!$A$4:$AJ$39,24,)</f>
        <v>0</v>
      </c>
      <c r="P1205" s="69">
        <f t="shared" si="315"/>
        <v>0</v>
      </c>
      <c r="Q1205" s="70" t="str">
        <f>IF(P1205=0,"",P1205/$P1186)</f>
        <v/>
      </c>
      <c r="R1205" s="18"/>
    </row>
    <row r="1206" spans="1:19" ht="15.75" customHeight="1" x14ac:dyDescent="0.2">
      <c r="B1206" s="145"/>
      <c r="C1206" s="38" t="s">
        <v>109</v>
      </c>
      <c r="D1206" s="66">
        <f>VLOOKUP($B1178,[1]Complaints!$A$4:$AJ$39,25,)</f>
        <v>0</v>
      </c>
      <c r="E1206" s="67">
        <f>VLOOKUP($B1178,[2]Complaints!$A$4:$AJ$39,25,)</f>
        <v>0</v>
      </c>
      <c r="F1206" s="67">
        <f>VLOOKUP($B1178,[3]Complaints!$A$4:$AJ$39,25,)</f>
        <v>0</v>
      </c>
      <c r="G1206" s="67">
        <f>VLOOKUP($B1178,[4]Complaints!$A$4:$AJ$39,25,)</f>
        <v>0</v>
      </c>
      <c r="H1206" s="67">
        <f>VLOOKUP($B1178,[5]Complaints!$A$4:$AJ$39,25,)</f>
        <v>0</v>
      </c>
      <c r="I1206" s="67">
        <f>VLOOKUP($B1178,[6]Complaints!$A$4:$AJ$39,25,)</f>
        <v>0</v>
      </c>
      <c r="J1206" s="67">
        <f>VLOOKUP($B1178,[7]Complaints!$A$4:$AJ$39,25,)</f>
        <v>0</v>
      </c>
      <c r="K1206" s="67">
        <f>VLOOKUP($B1178,[8]Complaints!$A$4:$AJ$39,25,)</f>
        <v>0</v>
      </c>
      <c r="L1206" s="67">
        <f>VLOOKUP($B1178,[9]Complaints!$A$4:$AJ$39,25,)</f>
        <v>0</v>
      </c>
      <c r="M1206" s="67">
        <f>VLOOKUP($B1178,[10]Complaints!$A$4:$AJ$39,25,)</f>
        <v>0</v>
      </c>
      <c r="N1206" s="67">
        <f>VLOOKUP($B1178,[11]Complaints!$A$4:$AJ$39,25,)</f>
        <v>0</v>
      </c>
      <c r="O1206" s="68">
        <f>VLOOKUP($B1178,[12]Complaints!$A$4:$AJ$39,25,)</f>
        <v>0</v>
      </c>
      <c r="P1206" s="69">
        <f t="shared" si="315"/>
        <v>0</v>
      </c>
      <c r="Q1206" s="70" t="str">
        <f>IF(P1206=0,"",P1206/$P1186)</f>
        <v/>
      </c>
      <c r="R1206" s="18"/>
    </row>
    <row r="1207" spans="1:19" ht="15.75" customHeight="1" x14ac:dyDescent="0.2">
      <c r="A1207" s="21"/>
      <c r="B1207" s="145"/>
      <c r="C1207" s="38" t="s">
        <v>110</v>
      </c>
      <c r="D1207" s="66">
        <f>VLOOKUP($B1178,[1]Complaints!$A$4:$AJ$39,26,)</f>
        <v>0</v>
      </c>
      <c r="E1207" s="67">
        <f>VLOOKUP($B1178,[2]Complaints!$A$4:$AJ$39,26,)</f>
        <v>0</v>
      </c>
      <c r="F1207" s="67">
        <f>VLOOKUP($B1178,[3]Complaints!$A$4:$AJ$39,26,)</f>
        <v>0</v>
      </c>
      <c r="G1207" s="67">
        <f>VLOOKUP($B1178,[4]Complaints!$A$4:$AJ$39,26,)</f>
        <v>0</v>
      </c>
      <c r="H1207" s="67">
        <f>VLOOKUP($B1178,[5]Complaints!$A$4:$AJ$39,26,)</f>
        <v>0</v>
      </c>
      <c r="I1207" s="67">
        <f>VLOOKUP($B1178,[6]Complaints!$A$4:$AJ$39,26,)</f>
        <v>0</v>
      </c>
      <c r="J1207" s="67">
        <f>VLOOKUP($B1178,[7]Complaints!$A$4:$AJ$39,26,)</f>
        <v>0</v>
      </c>
      <c r="K1207" s="67">
        <f>VLOOKUP($B1178,[8]Complaints!$A$4:$AJ$39,26,)</f>
        <v>0</v>
      </c>
      <c r="L1207" s="67">
        <f>VLOOKUP($B1178,[9]Complaints!$A$4:$AJ$39,26,)</f>
        <v>0</v>
      </c>
      <c r="M1207" s="67">
        <f>VLOOKUP($B1178,[10]Complaints!$A$4:$AJ$39,26,)</f>
        <v>0</v>
      </c>
      <c r="N1207" s="67">
        <f>VLOOKUP($B1178,[11]Complaints!$A$4:$AJ$39,26,)</f>
        <v>0</v>
      </c>
      <c r="O1207" s="68">
        <f>VLOOKUP($B1178,[12]Complaints!$A$4:$AJ$39,26,)</f>
        <v>0</v>
      </c>
      <c r="P1207" s="69">
        <f t="shared" si="315"/>
        <v>0</v>
      </c>
      <c r="Q1207" s="70" t="str">
        <f>IF(P1207=0,"",P1207/$P1186)</f>
        <v/>
      </c>
      <c r="R1207" s="18"/>
    </row>
    <row r="1208" spans="1:19" s="21" customFormat="1" ht="15.75" customHeight="1" x14ac:dyDescent="0.2">
      <c r="B1208" s="145"/>
      <c r="C1208" s="39" t="s">
        <v>107</v>
      </c>
      <c r="D1208" s="71">
        <f>VLOOKUP($B1178,[1]Complaints!$A$4:$AJ$39,27,)</f>
        <v>0</v>
      </c>
      <c r="E1208" s="72">
        <f>VLOOKUP($B1178,[2]Complaints!$A$4:$AJ$39,27,)</f>
        <v>0</v>
      </c>
      <c r="F1208" s="72">
        <f>VLOOKUP($B1178,[3]Complaints!$A$4:$AJ$39,27,)</f>
        <v>0</v>
      </c>
      <c r="G1208" s="72">
        <f>VLOOKUP($B1178,[4]Complaints!$A$4:$AJ$39,27,)</f>
        <v>0</v>
      </c>
      <c r="H1208" s="72">
        <f>VLOOKUP($B1178,[5]Complaints!$A$4:$AJ$39,27,)</f>
        <v>0</v>
      </c>
      <c r="I1208" s="72">
        <f>VLOOKUP($B1178,[6]Complaints!$A$4:$AJ$39,27,)</f>
        <v>0</v>
      </c>
      <c r="J1208" s="72">
        <f>VLOOKUP($B1178,[7]Complaints!$A$4:$AJ$39,27,)</f>
        <v>0</v>
      </c>
      <c r="K1208" s="72">
        <f>VLOOKUP($B1178,[8]Complaints!$A$4:$AJ$39,27,)</f>
        <v>0</v>
      </c>
      <c r="L1208" s="72">
        <f>VLOOKUP($B1178,[9]Complaints!$A$4:$AJ$39,27,)</f>
        <v>0</v>
      </c>
      <c r="M1208" s="72">
        <f>VLOOKUP($B1178,[10]Complaints!$A$4:$AJ$39,27,)</f>
        <v>0</v>
      </c>
      <c r="N1208" s="72">
        <f>VLOOKUP($B1178,[11]Complaints!$A$4:$AJ$39,27,)</f>
        <v>0</v>
      </c>
      <c r="O1208" s="73">
        <f>VLOOKUP($B1178,[12]Complaints!$A$4:$AJ$39,27,)</f>
        <v>0</v>
      </c>
      <c r="P1208" s="69">
        <f t="shared" si="315"/>
        <v>0</v>
      </c>
      <c r="Q1208" s="70" t="str">
        <f>IF(P1208=0,"",P1208/$P1186)</f>
        <v/>
      </c>
      <c r="S1208" s="18"/>
    </row>
    <row r="1209" spans="1:19" ht="15.75" customHeight="1" x14ac:dyDescent="0.2">
      <c r="B1209" s="145"/>
      <c r="C1209" s="39" t="s">
        <v>87</v>
      </c>
      <c r="D1209" s="71">
        <f>VLOOKUP($B1178,[1]Complaints!$A$4:$AJ$39,28,)</f>
        <v>0</v>
      </c>
      <c r="E1209" s="72">
        <f>VLOOKUP($B1178,[2]Complaints!$A$4:$AJ$39,28,)</f>
        <v>0</v>
      </c>
      <c r="F1209" s="72">
        <f>VLOOKUP($B1178,[3]Complaints!$A$4:$AJ$39,28,)</f>
        <v>0</v>
      </c>
      <c r="G1209" s="72">
        <f>VLOOKUP($B1178,[4]Complaints!$A$4:$AJ$39,28,)</f>
        <v>0</v>
      </c>
      <c r="H1209" s="72">
        <f>VLOOKUP($B1178,[5]Complaints!$A$4:$AJ$39,28,)</f>
        <v>0</v>
      </c>
      <c r="I1209" s="72">
        <f>VLOOKUP($B1178,[6]Complaints!$A$4:$AJ$39,28,)</f>
        <v>0</v>
      </c>
      <c r="J1209" s="72">
        <f>VLOOKUP($B1178,[7]Complaints!$A$4:$AJ$39,28,)</f>
        <v>0</v>
      </c>
      <c r="K1209" s="72">
        <f>VLOOKUP($B1178,[8]Complaints!$A$4:$AJ$39,28,)</f>
        <v>0</v>
      </c>
      <c r="L1209" s="72">
        <f>VLOOKUP($B1178,[9]Complaints!$A$4:$AJ$39,28,)</f>
        <v>0</v>
      </c>
      <c r="M1209" s="72">
        <f>VLOOKUP($B1178,[10]Complaints!$A$4:$AJ$39,28,)</f>
        <v>0</v>
      </c>
      <c r="N1209" s="72">
        <f>VLOOKUP($B1178,[11]Complaints!$A$4:$AJ$39,28,)</f>
        <v>0</v>
      </c>
      <c r="O1209" s="73">
        <f>VLOOKUP($B1178,[12]Complaints!$A$4:$AJ$39,28,)</f>
        <v>0</v>
      </c>
      <c r="P1209" s="69">
        <f t="shared" si="315"/>
        <v>0</v>
      </c>
      <c r="Q1209" s="70" t="str">
        <f>IF(P1209=0,"",P1209/$P1186)</f>
        <v/>
      </c>
      <c r="R1209" s="18"/>
    </row>
    <row r="1210" spans="1:19" ht="15.75" customHeight="1" x14ac:dyDescent="0.2">
      <c r="B1210" s="145"/>
      <c r="C1210" s="38" t="s">
        <v>111</v>
      </c>
      <c r="D1210" s="66">
        <f>VLOOKUP($B1178,[1]Complaints!$A$4:$AJ$39,29,)</f>
        <v>0</v>
      </c>
      <c r="E1210" s="67">
        <f>VLOOKUP($B1178,[2]Complaints!$A$4:$AJ$39,29,)</f>
        <v>0</v>
      </c>
      <c r="F1210" s="67">
        <f>VLOOKUP($B1178,[3]Complaints!$A$4:$AJ$39,29,)</f>
        <v>0</v>
      </c>
      <c r="G1210" s="67">
        <f>VLOOKUP($B1178,[4]Complaints!$A$4:$AJ$39,29,)</f>
        <v>0</v>
      </c>
      <c r="H1210" s="67">
        <f>VLOOKUP($B1178,[5]Complaints!$A$4:$AJ$39,29,)</f>
        <v>0</v>
      </c>
      <c r="I1210" s="67">
        <f>VLOOKUP($B1178,[6]Complaints!$A$4:$AJ$39,29,)</f>
        <v>0</v>
      </c>
      <c r="J1210" s="67">
        <f>VLOOKUP($B1178,[7]Complaints!$A$4:$AJ$39,29,)</f>
        <v>0</v>
      </c>
      <c r="K1210" s="67">
        <f>VLOOKUP($B1178,[8]Complaints!$A$4:$AJ$39,29,)</f>
        <v>0</v>
      </c>
      <c r="L1210" s="67">
        <f>VLOOKUP($B1178,[9]Complaints!$A$4:$AJ$39,29,)</f>
        <v>0</v>
      </c>
      <c r="M1210" s="67">
        <f>VLOOKUP($B1178,[10]Complaints!$A$4:$AJ$39,29,)</f>
        <v>0</v>
      </c>
      <c r="N1210" s="67">
        <f>VLOOKUP($B1178,[11]Complaints!$A$4:$AJ$39,29,)</f>
        <v>0</v>
      </c>
      <c r="O1210" s="68">
        <f>VLOOKUP($B1178,[12]Complaints!$A$4:$AJ$39,29,)</f>
        <v>0</v>
      </c>
      <c r="P1210" s="69">
        <f t="shared" si="315"/>
        <v>0</v>
      </c>
      <c r="Q1210" s="70" t="str">
        <f>IF(P1210=0,"",P1210/$P1186)</f>
        <v/>
      </c>
      <c r="R1210" s="18"/>
    </row>
    <row r="1211" spans="1:19" ht="15.75" customHeight="1" x14ac:dyDescent="0.2">
      <c r="B1211" s="145"/>
      <c r="C1211" s="38" t="s">
        <v>112</v>
      </c>
      <c r="D1211" s="66">
        <f>VLOOKUP($B1178,[1]Complaints!$A$4:$AJ$39,30,)</f>
        <v>0</v>
      </c>
      <c r="E1211" s="67">
        <f>VLOOKUP($B1178,[2]Complaints!$A$4:$AJ$39,30,)</f>
        <v>0</v>
      </c>
      <c r="F1211" s="67">
        <f>VLOOKUP($B1178,[3]Complaints!$A$4:$AJ$39,30,)</f>
        <v>0</v>
      </c>
      <c r="G1211" s="67">
        <f>VLOOKUP($B1178,[4]Complaints!$A$4:$AJ$39,30,)</f>
        <v>0</v>
      </c>
      <c r="H1211" s="67">
        <f>VLOOKUP($B1178,[5]Complaints!$A$4:$AJ$39,30,)</f>
        <v>0</v>
      </c>
      <c r="I1211" s="67">
        <f>VLOOKUP($B1178,[6]Complaints!$A$4:$AJ$39,30,)</f>
        <v>0</v>
      </c>
      <c r="J1211" s="67">
        <f>VLOOKUP($B1178,[7]Complaints!$A$4:$AJ$39,30,)</f>
        <v>0</v>
      </c>
      <c r="K1211" s="67">
        <f>VLOOKUP($B1178,[8]Complaints!$A$4:$AJ$39,30,)</f>
        <v>0</v>
      </c>
      <c r="L1211" s="67">
        <f>VLOOKUP($B1178,[9]Complaints!$A$4:$AJ$39,30,)</f>
        <v>0</v>
      </c>
      <c r="M1211" s="67">
        <f>VLOOKUP($B1178,[10]Complaints!$A$4:$AJ$39,30,)</f>
        <v>0</v>
      </c>
      <c r="N1211" s="67">
        <f>VLOOKUP($B1178,[11]Complaints!$A$4:$AJ$39,30,)</f>
        <v>0</v>
      </c>
      <c r="O1211" s="68">
        <f>VLOOKUP($B1178,[12]Complaints!$A$4:$AJ$39,30,)</f>
        <v>0</v>
      </c>
      <c r="P1211" s="69">
        <f t="shared" si="315"/>
        <v>0</v>
      </c>
      <c r="Q1211" s="70" t="str">
        <f>IF(P1211=0,"",P1211/$P1186)</f>
        <v/>
      </c>
      <c r="R1211" s="18"/>
    </row>
    <row r="1212" spans="1:19" ht="15.75" customHeight="1" x14ac:dyDescent="0.2">
      <c r="B1212" s="146"/>
      <c r="C1212" s="40" t="s">
        <v>119</v>
      </c>
      <c r="D1212" s="74">
        <f>VLOOKUP($B1178,[1]Complaints!$A$4:$AJ$39,31,)</f>
        <v>0</v>
      </c>
      <c r="E1212" s="75">
        <f>VLOOKUP($B1178,[2]Complaints!$A$4:$AJ$39,31,)</f>
        <v>0</v>
      </c>
      <c r="F1212" s="75">
        <f>VLOOKUP($B1178,[3]Complaints!$A$4:$AJ$39,31,)</f>
        <v>0</v>
      </c>
      <c r="G1212" s="75">
        <f>VLOOKUP($B1178,[4]Complaints!$A$4:$AJ$39,31,)</f>
        <v>0</v>
      </c>
      <c r="H1212" s="75">
        <f>VLOOKUP($B1178,[5]Complaints!$A$4:$AJ$39,31,)</f>
        <v>1</v>
      </c>
      <c r="I1212" s="75">
        <f>VLOOKUP($B1178,[6]Complaints!$A$4:$AJ$39,31,)</f>
        <v>0</v>
      </c>
      <c r="J1212" s="75">
        <f>VLOOKUP($B1178,[7]Complaints!$A$4:$AJ$39,31,)</f>
        <v>0</v>
      </c>
      <c r="K1212" s="75">
        <f>VLOOKUP($B1178,[8]Complaints!$A$4:$AJ$39,31,)</f>
        <v>0</v>
      </c>
      <c r="L1212" s="75">
        <f>VLOOKUP($B1178,[9]Complaints!$A$4:$AJ$39,31,)</f>
        <v>0</v>
      </c>
      <c r="M1212" s="75">
        <f>VLOOKUP($B1178,[10]Complaints!$A$4:$AJ$39,31,)</f>
        <v>0</v>
      </c>
      <c r="N1212" s="75">
        <f>VLOOKUP($B1178,[11]Complaints!$A$4:$AJ$39,31,)</f>
        <v>0</v>
      </c>
      <c r="O1212" s="76">
        <f>VLOOKUP($B1178,[12]Complaints!$A$4:$AJ$39,31,)</f>
        <v>0</v>
      </c>
      <c r="P1212" s="77">
        <f t="shared" si="315"/>
        <v>1</v>
      </c>
      <c r="Q1212" s="50">
        <f>IF(P1212=0,"",P1212/$P1186)</f>
        <v>0.5</v>
      </c>
      <c r="R1212" s="18"/>
    </row>
    <row r="1213" spans="1:19" ht="15.75" customHeight="1" x14ac:dyDescent="0.2">
      <c r="B1213" s="146"/>
      <c r="C1213" s="38" t="s">
        <v>113</v>
      </c>
      <c r="D1213" s="66">
        <f>VLOOKUP($B1178,[1]Complaints!$A$4:$AJ$39,32,)</f>
        <v>0</v>
      </c>
      <c r="E1213" s="67">
        <f>VLOOKUP($B1178,[2]Complaints!$A$4:$AJ$39,32,)</f>
        <v>0</v>
      </c>
      <c r="F1213" s="67">
        <f>VLOOKUP($B1178,[3]Complaints!$A$4:$AJ$39,32,)</f>
        <v>0</v>
      </c>
      <c r="G1213" s="67">
        <f>VLOOKUP($B1178,[4]Complaints!$A$4:$AJ$39,32,)</f>
        <v>0</v>
      </c>
      <c r="H1213" s="67">
        <f>VLOOKUP($B1178,[5]Complaints!$A$4:$AJ$39,32,)</f>
        <v>0</v>
      </c>
      <c r="I1213" s="67">
        <f>VLOOKUP($B1178,[6]Complaints!$A$4:$AJ$39,32,)</f>
        <v>0</v>
      </c>
      <c r="J1213" s="67">
        <f>VLOOKUP($B1178,[7]Complaints!$A$4:$AJ$39,32,)</f>
        <v>0</v>
      </c>
      <c r="K1213" s="67">
        <f>VLOOKUP($B1178,[8]Complaints!$A$4:$AJ$39,32,)</f>
        <v>0</v>
      </c>
      <c r="L1213" s="67">
        <f>VLOOKUP($B1178,[9]Complaints!$A$4:$AJ$39,32,)</f>
        <v>0</v>
      </c>
      <c r="M1213" s="67">
        <f>VLOOKUP($B1178,[10]Complaints!$A$4:$AJ$39,32,)</f>
        <v>0</v>
      </c>
      <c r="N1213" s="67">
        <f>VLOOKUP($B1178,[11]Complaints!$A$4:$AJ$39,32,)</f>
        <v>0</v>
      </c>
      <c r="O1213" s="68">
        <f>VLOOKUP($B1178,[12]Complaints!$A$4:$AJ$39,32,)</f>
        <v>0</v>
      </c>
      <c r="P1213" s="69">
        <f t="shared" si="315"/>
        <v>0</v>
      </c>
      <c r="Q1213" s="70" t="str">
        <f>IF(P1213=0,"",P1213/$P1186)</f>
        <v/>
      </c>
      <c r="R1213" s="18"/>
    </row>
    <row r="1214" spans="1:19" ht="15.75" customHeight="1" x14ac:dyDescent="0.2">
      <c r="B1214" s="146"/>
      <c r="C1214" s="38" t="s">
        <v>114</v>
      </c>
      <c r="D1214" s="66">
        <f>VLOOKUP($B1178,[1]Complaints!$A$4:$AJ$39,33,)</f>
        <v>0</v>
      </c>
      <c r="E1214" s="67">
        <f>VLOOKUP($B1178,[2]Complaints!$A$4:$AJ$39,33,)</f>
        <v>0</v>
      </c>
      <c r="F1214" s="67">
        <f>VLOOKUP($B1178,[3]Complaints!$A$4:$AJ$39,33,)</f>
        <v>0</v>
      </c>
      <c r="G1214" s="67">
        <f>VLOOKUP($B1178,[4]Complaints!$A$4:$AJ$39,33,)</f>
        <v>0</v>
      </c>
      <c r="H1214" s="67">
        <f>VLOOKUP($B1178,[5]Complaints!$A$4:$AJ$39,33,)</f>
        <v>0</v>
      </c>
      <c r="I1214" s="67">
        <f>VLOOKUP($B1178,[6]Complaints!$A$4:$AJ$39,33,)</f>
        <v>0</v>
      </c>
      <c r="J1214" s="67">
        <f>VLOOKUP($B1178,[7]Complaints!$A$4:$AJ$39,33,)</f>
        <v>0</v>
      </c>
      <c r="K1214" s="67">
        <f>VLOOKUP($B1178,[8]Complaints!$A$4:$AJ$39,33,)</f>
        <v>0</v>
      </c>
      <c r="L1214" s="67">
        <f>VLOOKUP($B1178,[9]Complaints!$A$4:$AJ$39,33,)</f>
        <v>0</v>
      </c>
      <c r="M1214" s="67">
        <f>VLOOKUP($B1178,[10]Complaints!$A$4:$AJ$39,33,)</f>
        <v>0</v>
      </c>
      <c r="N1214" s="67">
        <f>VLOOKUP($B1178,[11]Complaints!$A$4:$AJ$39,33,)</f>
        <v>0</v>
      </c>
      <c r="O1214" s="68">
        <f>VLOOKUP($B1178,[12]Complaints!$A$4:$AJ$39,33,)</f>
        <v>0</v>
      </c>
      <c r="P1214" s="69">
        <f t="shared" si="315"/>
        <v>0</v>
      </c>
      <c r="Q1214" s="70" t="str">
        <f>IF(P1214=0,"",P1214/$P1186)</f>
        <v/>
      </c>
      <c r="R1214" s="18"/>
    </row>
    <row r="1215" spans="1:19" ht="15.75" customHeight="1" x14ac:dyDescent="0.2">
      <c r="B1215" s="146"/>
      <c r="C1215" s="38" t="s">
        <v>115</v>
      </c>
      <c r="D1215" s="66">
        <f>VLOOKUP($B1178,[1]Complaints!$A$4:$AJ$39,34,)</f>
        <v>0</v>
      </c>
      <c r="E1215" s="67">
        <f>VLOOKUP($B1178,[2]Complaints!$A$4:$AJ$39,34,)</f>
        <v>0</v>
      </c>
      <c r="F1215" s="67">
        <f>VLOOKUP($B1178,[3]Complaints!$A$4:$AJ$39,34,)</f>
        <v>0</v>
      </c>
      <c r="G1215" s="67">
        <f>VLOOKUP($B1178,[4]Complaints!$A$4:$AJ$39,34,)</f>
        <v>0</v>
      </c>
      <c r="H1215" s="67">
        <f>VLOOKUP($B1178,[5]Complaints!$A$4:$AJ$39,34,)</f>
        <v>1</v>
      </c>
      <c r="I1215" s="67">
        <f>VLOOKUP($B1178,[6]Complaints!$A$4:$AJ$39,34,)</f>
        <v>0</v>
      </c>
      <c r="J1215" s="67">
        <f>VLOOKUP($B1178,[7]Complaints!$A$4:$AJ$39,34,)</f>
        <v>0</v>
      </c>
      <c r="K1215" s="67">
        <f>VLOOKUP($B1178,[8]Complaints!$A$4:$AJ$39,34,)</f>
        <v>0</v>
      </c>
      <c r="L1215" s="67">
        <f>VLOOKUP($B1178,[9]Complaints!$A$4:$AJ$39,34,)</f>
        <v>0</v>
      </c>
      <c r="M1215" s="67">
        <f>VLOOKUP($B1178,[10]Complaints!$A$4:$AJ$39,34,)</f>
        <v>0</v>
      </c>
      <c r="N1215" s="67">
        <f>VLOOKUP($B1178,[11]Complaints!$A$4:$AJ$39,34,)</f>
        <v>0</v>
      </c>
      <c r="O1215" s="68">
        <f>VLOOKUP($B1178,[12]Complaints!$A$4:$AJ$39,34,)</f>
        <v>0</v>
      </c>
      <c r="P1215" s="69">
        <f t="shared" si="315"/>
        <v>1</v>
      </c>
      <c r="Q1215" s="70">
        <f>IF(P1215=0,"",P1215/$P1186)</f>
        <v>0.5</v>
      </c>
      <c r="R1215" s="18"/>
    </row>
    <row r="1216" spans="1:19" ht="15.75" customHeight="1" x14ac:dyDescent="0.2">
      <c r="B1216" s="146"/>
      <c r="C1216" s="38" t="s">
        <v>116</v>
      </c>
      <c r="D1216" s="66">
        <f>VLOOKUP($B1178,[1]Complaints!$A$4:$AJ$39,35,)</f>
        <v>0</v>
      </c>
      <c r="E1216" s="67">
        <f>VLOOKUP($B1178,[2]Complaints!$A$4:$AJ$39,35,)</f>
        <v>0</v>
      </c>
      <c r="F1216" s="67">
        <f>VLOOKUP($B1178,[3]Complaints!$A$4:$AJ$39,35,)</f>
        <v>0</v>
      </c>
      <c r="G1216" s="67">
        <f>VLOOKUP($B1178,[4]Complaints!$A$4:$AJ$39,35,)</f>
        <v>0</v>
      </c>
      <c r="H1216" s="67">
        <f>VLOOKUP($B1178,[5]Complaints!$A$4:$AJ$39,35,)</f>
        <v>0</v>
      </c>
      <c r="I1216" s="67">
        <f>VLOOKUP($B1178,[6]Complaints!$A$4:$AJ$39,35,)</f>
        <v>0</v>
      </c>
      <c r="J1216" s="67">
        <f>VLOOKUP($B1178,[7]Complaints!$A$4:$AJ$39,35,)</f>
        <v>0</v>
      </c>
      <c r="K1216" s="67">
        <f>VLOOKUP($B1178,[8]Complaints!$A$4:$AJ$39,35,)</f>
        <v>0</v>
      </c>
      <c r="L1216" s="67">
        <f>VLOOKUP($B1178,[9]Complaints!$A$4:$AJ$39,35,)</f>
        <v>0</v>
      </c>
      <c r="M1216" s="67">
        <f>VLOOKUP($B1178,[10]Complaints!$A$4:$AJ$39,35,)</f>
        <v>0</v>
      </c>
      <c r="N1216" s="67">
        <f>VLOOKUP($B1178,[11]Complaints!$A$4:$AJ$39,35,)</f>
        <v>0</v>
      </c>
      <c r="O1216" s="68">
        <f>VLOOKUP($B1178,[12]Complaints!$A$4:$AJ$39,35,)</f>
        <v>0</v>
      </c>
      <c r="P1216" s="69">
        <f t="shared" si="315"/>
        <v>0</v>
      </c>
      <c r="Q1216" s="70" t="str">
        <f>IF(P1216=0,"",P1216/$P1186)</f>
        <v/>
      </c>
      <c r="R1216" s="18"/>
    </row>
    <row r="1217" spans="2:18" ht="15.75" customHeight="1" thickBot="1" x14ac:dyDescent="0.25">
      <c r="B1217" s="147"/>
      <c r="C1217" s="41" t="s">
        <v>117</v>
      </c>
      <c r="D1217" s="78">
        <f>VLOOKUP($B1178,[1]Complaints!$A$4:$AJ$39,36,)</f>
        <v>0</v>
      </c>
      <c r="E1217" s="79">
        <f>VLOOKUP($B1178,[2]Complaints!$A$4:$AJ$39,36,)</f>
        <v>0</v>
      </c>
      <c r="F1217" s="79">
        <f>VLOOKUP($B1178,[3]Complaints!$A$4:$AJ$39,36,)</f>
        <v>0</v>
      </c>
      <c r="G1217" s="79">
        <f>VLOOKUP($B1178,[4]Complaints!$A$4:$AJ$39,36,)</f>
        <v>0</v>
      </c>
      <c r="H1217" s="79">
        <f>VLOOKUP($B1178,[5]Complaints!$A$4:$AJ$39,36,)</f>
        <v>0</v>
      </c>
      <c r="I1217" s="79">
        <f>VLOOKUP($B1178,[6]Complaints!$A$4:$AJ$39,36,)</f>
        <v>0</v>
      </c>
      <c r="J1217" s="79">
        <f>VLOOKUP($B1178,[7]Complaints!$A$4:$AJ$39,36,)</f>
        <v>0</v>
      </c>
      <c r="K1217" s="79">
        <f>VLOOKUP($B1178,[8]Complaints!$A$4:$AJ$39,36,)</f>
        <v>0</v>
      </c>
      <c r="L1217" s="79">
        <f>VLOOKUP($B1178,[9]Complaints!$A$4:$AJ$39,36,)</f>
        <v>0</v>
      </c>
      <c r="M1217" s="79">
        <f>VLOOKUP($B1178,[10]Complaints!$A$4:$AJ$39,36,)</f>
        <v>0</v>
      </c>
      <c r="N1217" s="79">
        <f>VLOOKUP($B1178,[11]Complaints!$A$4:$AJ$39,36,)</f>
        <v>0</v>
      </c>
      <c r="O1217" s="80">
        <f>VLOOKUP($B1178,[12]Complaints!$A$4:$AJ$39,36,)</f>
        <v>0</v>
      </c>
      <c r="P1217" s="81">
        <f t="shared" si="315"/>
        <v>0</v>
      </c>
      <c r="Q1217" s="82" t="str">
        <f>IF(P1217=0,"",P1217/$P1186)</f>
        <v/>
      </c>
      <c r="R1217" s="18"/>
    </row>
    <row r="1218" spans="2:18" ht="15.75" customHeight="1" thickBot="1" x14ac:dyDescent="0.25">
      <c r="R1218" s="18"/>
    </row>
    <row r="1219" spans="2:18" ht="15.75" customHeight="1" x14ac:dyDescent="0.25">
      <c r="B1219" s="158" t="s">
        <v>35</v>
      </c>
      <c r="C1219" s="159"/>
      <c r="D1219" s="32" t="s">
        <v>0</v>
      </c>
      <c r="E1219" s="20" t="s">
        <v>1</v>
      </c>
      <c r="F1219" s="20" t="s">
        <v>2</v>
      </c>
      <c r="G1219" s="20" t="s">
        <v>3</v>
      </c>
      <c r="H1219" s="20" t="s">
        <v>4</v>
      </c>
      <c r="I1219" s="20" t="s">
        <v>5</v>
      </c>
      <c r="J1219" s="20" t="s">
        <v>6</v>
      </c>
      <c r="K1219" s="20" t="s">
        <v>7</v>
      </c>
      <c r="L1219" s="20" t="s">
        <v>8</v>
      </c>
      <c r="M1219" s="20" t="s">
        <v>9</v>
      </c>
      <c r="N1219" s="20" t="s">
        <v>10</v>
      </c>
      <c r="O1219" s="33" t="s">
        <v>11</v>
      </c>
      <c r="P1219" s="35" t="s">
        <v>12</v>
      </c>
      <c r="Q1219" s="160" t="s">
        <v>104</v>
      </c>
      <c r="R1219" s="18"/>
    </row>
    <row r="1220" spans="2:18" ht="15.75" customHeight="1" thickBot="1" x14ac:dyDescent="0.3">
      <c r="B1220" s="162" t="s">
        <v>48</v>
      </c>
      <c r="C1220" s="163"/>
      <c r="D1220" s="34">
        <v>2020</v>
      </c>
      <c r="E1220" s="34">
        <v>2020</v>
      </c>
      <c r="F1220" s="34">
        <v>2020</v>
      </c>
      <c r="G1220" s="34">
        <v>2020</v>
      </c>
      <c r="H1220" s="34">
        <v>2020</v>
      </c>
      <c r="I1220" s="34">
        <v>2020</v>
      </c>
      <c r="J1220" s="34">
        <v>2020</v>
      </c>
      <c r="K1220" s="34">
        <v>2020</v>
      </c>
      <c r="L1220" s="34">
        <v>2020</v>
      </c>
      <c r="M1220" s="25">
        <v>2021</v>
      </c>
      <c r="N1220" s="25">
        <v>2021</v>
      </c>
      <c r="O1220" s="25">
        <v>2021</v>
      </c>
      <c r="P1220" s="36" t="s">
        <v>122</v>
      </c>
      <c r="Q1220" s="161"/>
      <c r="R1220" s="18"/>
    </row>
    <row r="1221" spans="2:18" ht="12.75" customHeight="1" thickBot="1" x14ac:dyDescent="0.25">
      <c r="B1221" s="164" t="s">
        <v>38</v>
      </c>
      <c r="C1221" s="165"/>
      <c r="D1221" s="42">
        <f>VLOOKUP($B1220,[1]Complaints!$A$4:$AJ$39,2,)</f>
        <v>313</v>
      </c>
      <c r="E1221" s="43">
        <f>VLOOKUP($B1220,[2]Complaints!$A$4:$AJ$39,2,)</f>
        <v>422</v>
      </c>
      <c r="F1221" s="43">
        <f>VLOOKUP($B1220,[3]Complaints!$A$4:$AJ$39,2)</f>
        <v>867</v>
      </c>
      <c r="G1221" s="43">
        <f>VLOOKUP($B1220,[4]Complaints!$A$4:$AJ$39,2)</f>
        <v>1370</v>
      </c>
      <c r="H1221" s="43">
        <f>VLOOKUP($B1220,[5]Complaints!$A$4:$AJ$39,2)</f>
        <v>1739</v>
      </c>
      <c r="I1221" s="43">
        <f>VLOOKUP($B1220,[6]Complaints!$A$4:$AJ$39,2)</f>
        <v>1786</v>
      </c>
      <c r="J1221" s="43">
        <f>VLOOKUP($B1220,[7]Complaints!$A$4:$AJ$39,2)</f>
        <v>1903</v>
      </c>
      <c r="K1221" s="43">
        <f>VLOOKUP($B1220,[8]Complaints!$A$4:$AJ$39,2)</f>
        <v>1903</v>
      </c>
      <c r="L1221" s="43">
        <f>VLOOKUP($B1220,[9]Complaints!$A$4:$AJ$39,2)</f>
        <v>1922</v>
      </c>
      <c r="M1221" s="43">
        <f>VLOOKUP($B1220,[10]Complaints!$A$4:$AJ$39,2)</f>
        <v>1525</v>
      </c>
      <c r="N1221" s="43">
        <f>VLOOKUP($B1220,[11]Complaints!$A$4:$AJ$39,2)</f>
        <v>0</v>
      </c>
      <c r="O1221" s="44">
        <f>VLOOKUP($B1220,[12]Complaints!$A$4:$AJ$39,2)</f>
        <v>0</v>
      </c>
      <c r="P1221" s="45">
        <f>SUM(D1221:O1221)</f>
        <v>13750</v>
      </c>
      <c r="Q1221" s="46"/>
      <c r="R1221" s="18"/>
    </row>
    <row r="1222" spans="2:18" ht="15.75" customHeight="1" x14ac:dyDescent="0.2">
      <c r="B1222" s="166" t="s">
        <v>94</v>
      </c>
      <c r="C1222" s="167"/>
      <c r="D1222" s="47">
        <f>VLOOKUP($B1220,[1]Complaints!$A$4:$AF$39,3,)</f>
        <v>0</v>
      </c>
      <c r="E1222" s="48">
        <f>VLOOKUP($B1220,[2]Complaints!$A$4:$AF$39,3,)</f>
        <v>0</v>
      </c>
      <c r="F1222" s="48">
        <f>VLOOKUP($B1220,[3]Complaints!$A$4:$AG$39,3,)</f>
        <v>1</v>
      </c>
      <c r="G1222" s="48">
        <f>VLOOKUP($B1220,[4]Complaints!$A$4:$AG$39,3,)</f>
        <v>0</v>
      </c>
      <c r="H1222" s="48">
        <f>VLOOKUP($B1220,[5]Complaints!$A$4:$AG$39,3,)</f>
        <v>2</v>
      </c>
      <c r="I1222" s="48">
        <f>VLOOKUP($B1220,[6]Complaints!$A$4:$AG$39,3,)</f>
        <v>0</v>
      </c>
      <c r="J1222" s="48">
        <f>VLOOKUP($B1220,[7]Complaints!$A$4:$AG$39,3,)</f>
        <v>3</v>
      </c>
      <c r="K1222" s="48">
        <f>VLOOKUP($B1220,[8]Complaints!$A$4:$AG$39,3,)</f>
        <v>3</v>
      </c>
      <c r="L1222" s="48">
        <f>VLOOKUP($B1220,[9]Complaints!$A$4:$AG$39,3,)</f>
        <v>4</v>
      </c>
      <c r="M1222" s="48">
        <f>VLOOKUP($B1220,[10]Complaints!$A$4:$AG$39,3,)</f>
        <v>2</v>
      </c>
      <c r="N1222" s="48">
        <f>VLOOKUP($B1220,[11]Complaints!$A$4:$AG$39,3,)</f>
        <v>0</v>
      </c>
      <c r="O1222" s="49">
        <f>VLOOKUP($B1220,[12]Complaints!$A$4:$AG$39,3,)</f>
        <v>0</v>
      </c>
      <c r="P1222" s="45">
        <f>SUM(D1222:O1222)</f>
        <v>15</v>
      </c>
      <c r="Q1222" s="50"/>
      <c r="R1222" s="18"/>
    </row>
    <row r="1223" spans="2:18" ht="15.75" customHeight="1" x14ac:dyDescent="0.2">
      <c r="B1223" s="26"/>
      <c r="C1223" s="28" t="s">
        <v>102</v>
      </c>
      <c r="D1223" s="51">
        <f>IF(D1221=0,"",D1222/D1221)</f>
        <v>0</v>
      </c>
      <c r="E1223" s="52">
        <f t="shared" ref="E1223:O1223" si="316">IF(E1221=0,"",E1222/E1221)</f>
        <v>0</v>
      </c>
      <c r="F1223" s="52">
        <f t="shared" si="316"/>
        <v>1.1534025374855825E-3</v>
      </c>
      <c r="G1223" s="52">
        <f t="shared" si="316"/>
        <v>0</v>
      </c>
      <c r="H1223" s="52">
        <f t="shared" si="316"/>
        <v>1.1500862564692352E-3</v>
      </c>
      <c r="I1223" s="52">
        <f t="shared" si="316"/>
        <v>0</v>
      </c>
      <c r="J1223" s="52">
        <f t="shared" si="316"/>
        <v>1.5764582238570678E-3</v>
      </c>
      <c r="K1223" s="52">
        <f t="shared" si="316"/>
        <v>1.5764582238570678E-3</v>
      </c>
      <c r="L1223" s="52">
        <f t="shared" si="316"/>
        <v>2.0811654526534861E-3</v>
      </c>
      <c r="M1223" s="52">
        <f t="shared" si="316"/>
        <v>1.3114754098360656E-3</v>
      </c>
      <c r="N1223" s="52" t="str">
        <f t="shared" si="316"/>
        <v/>
      </c>
      <c r="O1223" s="53" t="str">
        <f t="shared" si="316"/>
        <v/>
      </c>
      <c r="P1223" s="54">
        <f>IF(P1222="","",P1222/P1221)</f>
        <v>1.090909090909091E-3</v>
      </c>
      <c r="Q1223" s="50"/>
      <c r="R1223" s="18"/>
    </row>
    <row r="1224" spans="2:18" s="21" customFormat="1" ht="15.75" customHeight="1" x14ac:dyDescent="0.2">
      <c r="B1224" s="155" t="s">
        <v>95</v>
      </c>
      <c r="C1224" s="156"/>
      <c r="D1224" s="47">
        <f>VLOOKUP($B1220,[1]Complaints!$A$4:$AF$39,4,)</f>
        <v>0</v>
      </c>
      <c r="E1224" s="48">
        <f>VLOOKUP($B1220,[2]Complaints!$A$4:$AF$39,4,)</f>
        <v>0</v>
      </c>
      <c r="F1224" s="48">
        <f>VLOOKUP($B1220,[3]Complaints!$A$4:$AG$39,4,)</f>
        <v>0</v>
      </c>
      <c r="G1224" s="48">
        <f>VLOOKUP($B1220,[4]Complaints!$A$4:$AG$39,4,)</f>
        <v>0</v>
      </c>
      <c r="H1224" s="48">
        <f>VLOOKUP($B1220,[5]Complaints!$A$4:$AG$39,4,)</f>
        <v>1</v>
      </c>
      <c r="I1224" s="48">
        <f>VLOOKUP($B1220,[6]Complaints!$A$4:$AG$39,4,)</f>
        <v>0</v>
      </c>
      <c r="J1224" s="48">
        <f>VLOOKUP($B1220,[7]Complaints!$A$4:$AG$39,4,)</f>
        <v>2</v>
      </c>
      <c r="K1224" s="48">
        <f>VLOOKUP($B1220,[8]Complaints!$A$4:$AG$39,4,)</f>
        <v>2</v>
      </c>
      <c r="L1224" s="48">
        <f>VLOOKUP($B1220,[9]Complaints!$A$4:$AG$39,4,)</f>
        <v>1</v>
      </c>
      <c r="M1224" s="48">
        <f>VLOOKUP($B1220,[10]Complaints!$A$4:$AG$39,4,)</f>
        <v>2</v>
      </c>
      <c r="N1224" s="48">
        <f>VLOOKUP($B1220,[11]Complaints!$A$4:$AG$39,4,)</f>
        <v>0</v>
      </c>
      <c r="O1224" s="49">
        <f>VLOOKUP($B1220,[12]Complaints!$A$4:$AG$39,4,)</f>
        <v>0</v>
      </c>
      <c r="P1224" s="55">
        <f t="shared" ref="P1224" si="317">SUM(D1224:O1224)</f>
        <v>8</v>
      </c>
      <c r="Q1224" s="50"/>
    </row>
    <row r="1225" spans="2:18" ht="15.75" customHeight="1" x14ac:dyDescent="0.2">
      <c r="B1225" s="26"/>
      <c r="C1225" s="28" t="s">
        <v>98</v>
      </c>
      <c r="D1225" s="51">
        <f>IF(D1221=0,"",D1224/D1221)</f>
        <v>0</v>
      </c>
      <c r="E1225" s="52">
        <f t="shared" ref="E1225:O1225" si="318">IF(E1221=0,"",E1224/E1221)</f>
        <v>0</v>
      </c>
      <c r="F1225" s="52">
        <f t="shared" si="318"/>
        <v>0</v>
      </c>
      <c r="G1225" s="52">
        <f t="shared" si="318"/>
        <v>0</v>
      </c>
      <c r="H1225" s="52">
        <f t="shared" si="318"/>
        <v>5.750431282346176E-4</v>
      </c>
      <c r="I1225" s="52">
        <f t="shared" si="318"/>
        <v>0</v>
      </c>
      <c r="J1225" s="52">
        <f t="shared" si="318"/>
        <v>1.0509721492380452E-3</v>
      </c>
      <c r="K1225" s="52">
        <f t="shared" si="318"/>
        <v>1.0509721492380452E-3</v>
      </c>
      <c r="L1225" s="52">
        <f t="shared" si="318"/>
        <v>5.2029136316337154E-4</v>
      </c>
      <c r="M1225" s="52">
        <f t="shared" si="318"/>
        <v>1.3114754098360656E-3</v>
      </c>
      <c r="N1225" s="52" t="str">
        <f t="shared" si="318"/>
        <v/>
      </c>
      <c r="O1225" s="53" t="str">
        <f t="shared" si="318"/>
        <v/>
      </c>
      <c r="P1225" s="54">
        <f>IF(P1224="","",P1224/P1221)</f>
        <v>5.8181818181818183E-4</v>
      </c>
      <c r="Q1225" s="50"/>
      <c r="R1225" s="18"/>
    </row>
    <row r="1226" spans="2:18" ht="15.75" customHeight="1" x14ac:dyDescent="0.2">
      <c r="B1226" s="155" t="s">
        <v>96</v>
      </c>
      <c r="C1226" s="156"/>
      <c r="D1226" s="47">
        <f>VLOOKUP($B1220,[1]Complaints!$A$4:$AF$39,5,)</f>
        <v>0</v>
      </c>
      <c r="E1226" s="48">
        <f>VLOOKUP($B1220,[2]Complaints!$A$4:$AF$39,5,)</f>
        <v>0</v>
      </c>
      <c r="F1226" s="48">
        <f>VLOOKUP($B1220,[3]Complaints!$A$4:$AG$39,5,)</f>
        <v>1</v>
      </c>
      <c r="G1226" s="48">
        <f>VLOOKUP($B1220,[4]Complaints!$A$4:$AG$39,5,)</f>
        <v>0</v>
      </c>
      <c r="H1226" s="48">
        <f>VLOOKUP($B1220,[5]Complaints!$A$4:$AG$39,5,)</f>
        <v>1</v>
      </c>
      <c r="I1226" s="48">
        <f>VLOOKUP($B1220,[6]Complaints!$A$4:$AG$39,5,)</f>
        <v>0</v>
      </c>
      <c r="J1226" s="48">
        <f>VLOOKUP($B1220,[7]Complaints!$A$4:$AG$39,5,)</f>
        <v>1</v>
      </c>
      <c r="K1226" s="48">
        <f>VLOOKUP($B1220,[8]Complaints!$A$4:$AG$39,5,)</f>
        <v>1</v>
      </c>
      <c r="L1226" s="48">
        <f>VLOOKUP($B1220,[9]Complaints!$A$4:$AG$39,5,)</f>
        <v>3</v>
      </c>
      <c r="M1226" s="48">
        <f>VLOOKUP($B1220,[10]Complaints!$A$4:$AG$39,5,)</f>
        <v>0</v>
      </c>
      <c r="N1226" s="48">
        <f>VLOOKUP($B1220,[11]Complaints!$A$4:$AG$39,5,)</f>
        <v>0</v>
      </c>
      <c r="O1226" s="49">
        <f>VLOOKUP($B1220,[12]Complaints!$A$4:$AG$39,5,)</f>
        <v>0</v>
      </c>
      <c r="P1226" s="55">
        <f t="shared" ref="P1226" si="319">SUM(D1226:O1226)</f>
        <v>7</v>
      </c>
      <c r="Q1226" s="50"/>
      <c r="R1226" s="18"/>
    </row>
    <row r="1227" spans="2:18" ht="15.75" customHeight="1" x14ac:dyDescent="0.2">
      <c r="B1227" s="26"/>
      <c r="C1227" s="28" t="s">
        <v>99</v>
      </c>
      <c r="D1227" s="51">
        <f>IF(D1221=0,"",D1226/D1221)</f>
        <v>0</v>
      </c>
      <c r="E1227" s="52">
        <f t="shared" ref="E1227:O1227" si="320">IF(E1221=0,"",E1226/E1221)</f>
        <v>0</v>
      </c>
      <c r="F1227" s="52">
        <f t="shared" si="320"/>
        <v>1.1534025374855825E-3</v>
      </c>
      <c r="G1227" s="52">
        <f t="shared" si="320"/>
        <v>0</v>
      </c>
      <c r="H1227" s="52">
        <f t="shared" si="320"/>
        <v>5.750431282346176E-4</v>
      </c>
      <c r="I1227" s="52">
        <f t="shared" si="320"/>
        <v>0</v>
      </c>
      <c r="J1227" s="52">
        <f t="shared" si="320"/>
        <v>5.2548607461902258E-4</v>
      </c>
      <c r="K1227" s="52">
        <f t="shared" si="320"/>
        <v>5.2548607461902258E-4</v>
      </c>
      <c r="L1227" s="52">
        <f t="shared" si="320"/>
        <v>1.5608740894901144E-3</v>
      </c>
      <c r="M1227" s="52">
        <f t="shared" si="320"/>
        <v>0</v>
      </c>
      <c r="N1227" s="52" t="str">
        <f t="shared" si="320"/>
        <v/>
      </c>
      <c r="O1227" s="53" t="str">
        <f t="shared" si="320"/>
        <v/>
      </c>
      <c r="P1227" s="54">
        <f>IF(P1226="","",P1226/P1221)</f>
        <v>5.0909090909090913E-4</v>
      </c>
      <c r="Q1227" s="50"/>
      <c r="R1227" s="18"/>
    </row>
    <row r="1228" spans="2:18" ht="15.75" customHeight="1" x14ac:dyDescent="0.2">
      <c r="B1228" s="157" t="s">
        <v>97</v>
      </c>
      <c r="C1228" s="156"/>
      <c r="D1228" s="47">
        <f>VLOOKUP($B1220,[1]Complaints!$A$4:$AF$39,6,)</f>
        <v>0</v>
      </c>
      <c r="E1228" s="48">
        <f>VLOOKUP($B1220,[2]Complaints!$A$4:$AF$39,6,)</f>
        <v>0</v>
      </c>
      <c r="F1228" s="48">
        <f>VLOOKUP($B1220,[3]Complaints!$A$4:$AG$39,6,)</f>
        <v>1</v>
      </c>
      <c r="G1228" s="48">
        <f>VLOOKUP($B1220,[4]Complaints!$A$4:$AG$39,6,)</f>
        <v>0</v>
      </c>
      <c r="H1228" s="48">
        <f>VLOOKUP($B1220,[5]Complaints!$A$4:$AG$39,6,)</f>
        <v>0</v>
      </c>
      <c r="I1228" s="48">
        <f>VLOOKUP($B1220,[6]Complaints!$A$4:$AG$39,6,)</f>
        <v>0</v>
      </c>
      <c r="J1228" s="48">
        <f>VLOOKUP($B1220,[7]Complaints!$A$4:$AG$39,6,)</f>
        <v>3</v>
      </c>
      <c r="K1228" s="48">
        <f>VLOOKUP($B1220,[8]Complaints!$A$4:$AG$39,6,)</f>
        <v>3</v>
      </c>
      <c r="L1228" s="48">
        <f>VLOOKUP($B1220,[9]Complaints!$A$4:$AG$39,6,)</f>
        <v>1</v>
      </c>
      <c r="M1228" s="48">
        <f>VLOOKUP($B1220,[10]Complaints!$A$4:$AG$39,6,)</f>
        <v>0</v>
      </c>
      <c r="N1228" s="48">
        <f>VLOOKUP($B1220,[11]Complaints!$A$4:$AG$39,6,)</f>
        <v>0</v>
      </c>
      <c r="O1228" s="49">
        <f>VLOOKUP($B1220,[12]Complaints!$A$4:$AG$39,6,)</f>
        <v>0</v>
      </c>
      <c r="P1228" s="55">
        <f t="shared" ref="P1228" si="321">SUM(D1228:O1228)</f>
        <v>8</v>
      </c>
      <c r="Q1228" s="50"/>
      <c r="R1228" s="18"/>
    </row>
    <row r="1229" spans="2:18" ht="15.75" customHeight="1" thickBot="1" x14ac:dyDescent="0.25">
      <c r="B1229" s="27"/>
      <c r="C1229" s="29" t="s">
        <v>100</v>
      </c>
      <c r="D1229" s="56" t="str">
        <f>IF(D1228=0,"",D1228/D1226)</f>
        <v/>
      </c>
      <c r="E1229" s="57" t="str">
        <f t="shared" ref="E1229:H1229" si="322">IF(E1228=0,"",E1228/E1226)</f>
        <v/>
      </c>
      <c r="F1229" s="57">
        <f t="shared" si="322"/>
        <v>1</v>
      </c>
      <c r="G1229" s="57" t="str">
        <f t="shared" si="322"/>
        <v/>
      </c>
      <c r="H1229" s="57" t="str">
        <f t="shared" si="322"/>
        <v/>
      </c>
      <c r="I1229" s="57" t="str">
        <f>IF(I1228=0,"",I1228/I1226)</f>
        <v/>
      </c>
      <c r="J1229" s="57">
        <f t="shared" ref="J1229:O1229" si="323">IF(J1228=0,"",J1228/J1226)</f>
        <v>3</v>
      </c>
      <c r="K1229" s="57">
        <f t="shared" si="323"/>
        <v>3</v>
      </c>
      <c r="L1229" s="57">
        <f t="shared" si="323"/>
        <v>0.33333333333333331</v>
      </c>
      <c r="M1229" s="57" t="str">
        <f t="shared" si="323"/>
        <v/>
      </c>
      <c r="N1229" s="57" t="str">
        <f t="shared" si="323"/>
        <v/>
      </c>
      <c r="O1229" s="58" t="str">
        <f t="shared" si="323"/>
        <v/>
      </c>
      <c r="P1229" s="59">
        <f>IF(P1228=0,"",P1228/P1226)</f>
        <v>1.1428571428571428</v>
      </c>
      <c r="Q1229" s="60"/>
      <c r="R1229" s="18"/>
    </row>
    <row r="1230" spans="2:18" ht="15.75" customHeight="1" x14ac:dyDescent="0.2">
      <c r="B1230" s="168" t="s">
        <v>103</v>
      </c>
      <c r="C1230" s="30" t="s">
        <v>77</v>
      </c>
      <c r="D1230" s="61">
        <f>VLOOKUP($B1220,[1]Complaints!$A$4:$AJ$39,7,)</f>
        <v>0</v>
      </c>
      <c r="E1230" s="43">
        <f>VLOOKUP($B1220,[2]Complaints!$A$4:$AJ$39,7,)</f>
        <v>0</v>
      </c>
      <c r="F1230" s="43">
        <f>VLOOKUP($B1220,[3]Complaints!$A$4:$AJ$39,7,)</f>
        <v>0</v>
      </c>
      <c r="G1230" s="43">
        <f>VLOOKUP($B1220,[4]Complaints!$A$4:$AJ$39,7,)</f>
        <v>0</v>
      </c>
      <c r="H1230" s="43">
        <f>VLOOKUP($B1220,[5]Complaints!$A$4:$AJ$39,7,)</f>
        <v>0</v>
      </c>
      <c r="I1230" s="43">
        <f>VLOOKUP($B1220,[6]Complaints!$A$4:$AJ$39,7,)</f>
        <v>0</v>
      </c>
      <c r="J1230" s="43">
        <f>VLOOKUP($B1220,[7]Complaints!$A$4:$AJ$39,7,)</f>
        <v>1</v>
      </c>
      <c r="K1230" s="43">
        <f>VLOOKUP($B1220,[8]Complaints!$A$4:$AJ$39,7,)</f>
        <v>0</v>
      </c>
      <c r="L1230" s="43">
        <f>VLOOKUP($B1220,[9]Complaints!$A$4:$AJ$39,7,)</f>
        <v>0</v>
      </c>
      <c r="M1230" s="43">
        <f>VLOOKUP($B1220,[10]Complaints!$A$4:$AJ$39,7,)</f>
        <v>0</v>
      </c>
      <c r="N1230" s="43">
        <f>VLOOKUP($B1220,[11]Complaints!$A$4:$AJ$39,7,)</f>
        <v>0</v>
      </c>
      <c r="O1230" s="44">
        <f>VLOOKUP($B1220,[12]Complaints!$A$4:$AJ$39,7,)</f>
        <v>0</v>
      </c>
      <c r="P1230" s="45">
        <f>SUM(D1230:O1230)</f>
        <v>1</v>
      </c>
      <c r="Q1230" s="46">
        <f>IF(P1230=0,"",P1230/$P1222)</f>
        <v>6.6666666666666666E-2</v>
      </c>
      <c r="R1230" s="18"/>
    </row>
    <row r="1231" spans="2:18" ht="15.75" customHeight="1" x14ac:dyDescent="0.2">
      <c r="B1231" s="169"/>
      <c r="C1231" s="31" t="s">
        <v>89</v>
      </c>
      <c r="D1231" s="47">
        <f>VLOOKUP($B1220,[1]Complaints!$A$4:$AJ$39,8,)</f>
        <v>0</v>
      </c>
      <c r="E1231" s="48">
        <f>VLOOKUP($B1220,[2]Complaints!$A$4:$AJ$39,8,)</f>
        <v>0</v>
      </c>
      <c r="F1231" s="48">
        <f>VLOOKUP($B1220,[3]Complaints!$A$4:$AJ$39,8,)</f>
        <v>1</v>
      </c>
      <c r="G1231" s="48">
        <f>VLOOKUP($B1220,[4]Complaints!$A$4:$AJ$39,8,)</f>
        <v>0</v>
      </c>
      <c r="H1231" s="48">
        <f>VLOOKUP($B1220,[5]Complaints!$A$4:$AJ$39,8,)</f>
        <v>1</v>
      </c>
      <c r="I1231" s="48">
        <f>VLOOKUP($B1220,[6]Complaints!$A$4:$AJ$39,8,)</f>
        <v>0</v>
      </c>
      <c r="J1231" s="48">
        <f>VLOOKUP($B1220,[7]Complaints!$A$4:$AJ$39,8,)</f>
        <v>0</v>
      </c>
      <c r="K1231" s="48">
        <f>VLOOKUP($B1220,[8]Complaints!$A$4:$AJ$39,8,)</f>
        <v>0</v>
      </c>
      <c r="L1231" s="48">
        <f>VLOOKUP($B1220,[9]Complaints!$A$4:$AJ$39,8,)</f>
        <v>2</v>
      </c>
      <c r="M1231" s="48">
        <f>VLOOKUP($B1220,[10]Complaints!$A$4:$AJ$39,8,)</f>
        <v>0</v>
      </c>
      <c r="N1231" s="48">
        <f>VLOOKUP($B1220,[11]Complaints!$A$4:$AJ$39,8,)</f>
        <v>0</v>
      </c>
      <c r="O1231" s="49">
        <f>VLOOKUP($B1220,[12]Complaints!$A$4:$AJ$39,8,)</f>
        <v>0</v>
      </c>
      <c r="P1231" s="55">
        <f t="shared" ref="P1231:P1232" si="324">SUM(D1231:O1231)</f>
        <v>4</v>
      </c>
      <c r="Q1231" s="50">
        <f>IF(P1231="","",P1231/$P1222)</f>
        <v>0.26666666666666666</v>
      </c>
      <c r="R1231" s="18"/>
    </row>
    <row r="1232" spans="2:18" ht="15.75" customHeight="1" x14ac:dyDescent="0.2">
      <c r="B1232" s="169"/>
      <c r="C1232" s="31" t="s">
        <v>88</v>
      </c>
      <c r="D1232" s="47">
        <f>VLOOKUP($B1220,[1]Complaints!$A$4:$AJ$39,9,)</f>
        <v>0</v>
      </c>
      <c r="E1232" s="48">
        <f>VLOOKUP($B1220,[2]Complaints!$A$4:$AJ$39,9,)</f>
        <v>0</v>
      </c>
      <c r="F1232" s="48">
        <f>VLOOKUP($B1220,[3]Complaints!$A$4:$AJ$39,9,)</f>
        <v>0</v>
      </c>
      <c r="G1232" s="48">
        <f>VLOOKUP($B1220,[4]Complaints!$A$4:$AJ$39,9,)</f>
        <v>0</v>
      </c>
      <c r="H1232" s="48">
        <f>VLOOKUP($B1220,[5]Complaints!$A$4:$AJ$39,9,)</f>
        <v>0</v>
      </c>
      <c r="I1232" s="48">
        <f>VLOOKUP($B1220,[6]Complaints!$A$4:$AJ$39,9,)</f>
        <v>0</v>
      </c>
      <c r="J1232" s="48">
        <f>VLOOKUP($B1220,[7]Complaints!$A$4:$AJ$39,9,)</f>
        <v>0</v>
      </c>
      <c r="K1232" s="48">
        <f>VLOOKUP($B1220,[8]Complaints!$A$4:$AJ$39,9,)</f>
        <v>0</v>
      </c>
      <c r="L1232" s="48">
        <f>VLOOKUP($B1220,[9]Complaints!$A$4:$AJ$39,9,)</f>
        <v>0</v>
      </c>
      <c r="M1232" s="48">
        <f>VLOOKUP($B1220,[10]Complaints!$A$4:$AJ$39,9,)</f>
        <v>0</v>
      </c>
      <c r="N1232" s="48">
        <f>VLOOKUP($B1220,[11]Complaints!$A$4:$AJ$39,9,)</f>
        <v>0</v>
      </c>
      <c r="O1232" s="49">
        <f>VLOOKUP($B1220,[12]Complaints!$A$4:$AJ$39,9,)</f>
        <v>0</v>
      </c>
      <c r="P1232" s="55">
        <f t="shared" si="324"/>
        <v>0</v>
      </c>
      <c r="Q1232" s="50" t="str">
        <f>IF(P1232=0,"",P1232/$P1222)</f>
        <v/>
      </c>
      <c r="R1232" s="18"/>
    </row>
    <row r="1233" spans="2:18" ht="15.75" customHeight="1" x14ac:dyDescent="0.2">
      <c r="B1233" s="169"/>
      <c r="C1233" s="31" t="s">
        <v>13</v>
      </c>
      <c r="D1233" s="47">
        <f>VLOOKUP($B1220,[1]Complaints!$A$4:$AJ$39,10,)</f>
        <v>0</v>
      </c>
      <c r="E1233" s="48">
        <f>VLOOKUP($B1220,[2]Complaints!$A$4:$AJ$39,10,)</f>
        <v>0</v>
      </c>
      <c r="F1233" s="48">
        <f>VLOOKUP($B1220,[3]Complaints!$A$4:$AJ$39,10,)</f>
        <v>0</v>
      </c>
      <c r="G1233" s="48">
        <f>VLOOKUP($B1220,[4]Complaints!$A$4:$AJ$39,10,)</f>
        <v>0</v>
      </c>
      <c r="H1233" s="48">
        <f>VLOOKUP($B1220,[5]Complaints!$A$4:$AJ$39,10,)</f>
        <v>1</v>
      </c>
      <c r="I1233" s="48">
        <f>VLOOKUP($B1220,[6]Complaints!$A$4:$AJ$39,10,)</f>
        <v>0</v>
      </c>
      <c r="J1233" s="48">
        <f>VLOOKUP($B1220,[7]Complaints!$A$4:$AJ$39,10,)</f>
        <v>1</v>
      </c>
      <c r="K1233" s="48">
        <f>VLOOKUP($B1220,[8]Complaints!$A$4:$AJ$39,10,)</f>
        <v>1</v>
      </c>
      <c r="L1233" s="48">
        <f>VLOOKUP($B1220,[9]Complaints!$A$4:$AJ$39,10,)</f>
        <v>1</v>
      </c>
      <c r="M1233" s="48">
        <f>VLOOKUP($B1220,[10]Complaints!$A$4:$AJ$39,10,)</f>
        <v>2</v>
      </c>
      <c r="N1233" s="48">
        <f>VLOOKUP($B1220,[11]Complaints!$A$4:$AJ$39,10,)</f>
        <v>0</v>
      </c>
      <c r="O1233" s="49">
        <f>VLOOKUP($B1220,[12]Complaints!$A$4:$AJ$39,10,)</f>
        <v>0</v>
      </c>
      <c r="P1233" s="55">
        <f>SUM(D1233:O1233)</f>
        <v>6</v>
      </c>
      <c r="Q1233" s="50">
        <f>IF(P1233=0,"",P1233/$P1222)</f>
        <v>0.4</v>
      </c>
      <c r="R1233" s="18"/>
    </row>
    <row r="1234" spans="2:18" ht="15.75" customHeight="1" x14ac:dyDescent="0.2">
      <c r="B1234" s="169"/>
      <c r="C1234" s="31" t="s">
        <v>101</v>
      </c>
      <c r="D1234" s="47">
        <f>VLOOKUP($B1220,[1]Complaints!$A$4:$AJ$39,11,)</f>
        <v>0</v>
      </c>
      <c r="E1234" s="48">
        <f>VLOOKUP($B1220,[2]Complaints!$A$4:$AJ$39,11,)</f>
        <v>0</v>
      </c>
      <c r="F1234" s="48">
        <f>VLOOKUP($B1220,[3]Complaints!$A$4:$AJ$39,11,)</f>
        <v>0</v>
      </c>
      <c r="G1234" s="48">
        <f>VLOOKUP($B1220,[4]Complaints!$A$4:$AJ$39,11,)</f>
        <v>0</v>
      </c>
      <c r="H1234" s="48">
        <f>VLOOKUP($B1220,[5]Complaints!$A$4:$AJ$39,11,)</f>
        <v>0</v>
      </c>
      <c r="I1234" s="48">
        <f>VLOOKUP($B1220,[6]Complaints!$A$4:$AJ$39,11,)</f>
        <v>0</v>
      </c>
      <c r="J1234" s="48">
        <f>VLOOKUP($B1220,[7]Complaints!$A$4:$AJ$39,11,)</f>
        <v>0</v>
      </c>
      <c r="K1234" s="48">
        <f>VLOOKUP($B1220,[8]Complaints!$A$4:$AJ$39,11,)</f>
        <v>0</v>
      </c>
      <c r="L1234" s="48">
        <f>VLOOKUP($B1220,[9]Complaints!$A$4:$AJ$39,11,)</f>
        <v>0</v>
      </c>
      <c r="M1234" s="48">
        <f>VLOOKUP($B1220,[10]Complaints!$A$4:$AJ$39,11,)</f>
        <v>0</v>
      </c>
      <c r="N1234" s="48">
        <f>VLOOKUP($B1220,[11]Complaints!$A$4:$AJ$39,11,)</f>
        <v>0</v>
      </c>
      <c r="O1234" s="49">
        <f>VLOOKUP($B1220,[12]Complaints!$A$4:$AJ$39,11,)</f>
        <v>0</v>
      </c>
      <c r="P1234" s="55">
        <f t="shared" ref="P1234:P1243" si="325">SUM(D1234:O1234)</f>
        <v>0</v>
      </c>
      <c r="Q1234" s="50" t="str">
        <f>IF(P1234=0,"",P1234/$P1222)</f>
        <v/>
      </c>
      <c r="R1234" s="18"/>
    </row>
    <row r="1235" spans="2:18" s="19" customFormat="1" ht="15.75" customHeight="1" x14ac:dyDescent="0.2">
      <c r="B1235" s="169"/>
      <c r="C1235" s="31" t="s">
        <v>93</v>
      </c>
      <c r="D1235" s="47">
        <f>VLOOKUP($B1220,[1]Complaints!$A$4:$AJ$39,12,)</f>
        <v>0</v>
      </c>
      <c r="E1235" s="48">
        <f>VLOOKUP($B1220,[2]Complaints!$A$4:$AJ$39,12,)</f>
        <v>0</v>
      </c>
      <c r="F1235" s="48">
        <f>VLOOKUP($B1220,[3]Complaints!$A$4:$AJ$39,12,)</f>
        <v>0</v>
      </c>
      <c r="G1235" s="48">
        <f>VLOOKUP($B1220,[4]Complaints!$A$4:$AJ$39,12,)</f>
        <v>0</v>
      </c>
      <c r="H1235" s="48">
        <f>VLOOKUP($B1220,[5]Complaints!$A$4:$AJ$39,12,)</f>
        <v>0</v>
      </c>
      <c r="I1235" s="48">
        <f>VLOOKUP($B1220,[6]Complaints!$A$4:$AJ$39,12,)</f>
        <v>0</v>
      </c>
      <c r="J1235" s="48">
        <f>VLOOKUP($B1220,[7]Complaints!$A$4:$AJ$39,12,)</f>
        <v>1</v>
      </c>
      <c r="K1235" s="48">
        <f>VLOOKUP($B1220,[8]Complaints!$A$4:$AJ$39,12,)</f>
        <v>0</v>
      </c>
      <c r="L1235" s="48">
        <f>VLOOKUP($B1220,[9]Complaints!$A$4:$AJ$39,12,)</f>
        <v>1</v>
      </c>
      <c r="M1235" s="48">
        <f>VLOOKUP($B1220,[10]Complaints!$A$4:$AJ$39,12,)</f>
        <v>0</v>
      </c>
      <c r="N1235" s="48">
        <f>VLOOKUP($B1220,[11]Complaints!$A$4:$AJ$39,12,)</f>
        <v>0</v>
      </c>
      <c r="O1235" s="49">
        <f>VLOOKUP($B1220,[12]Complaints!$A$4:$AJ$39,12,)</f>
        <v>0</v>
      </c>
      <c r="P1235" s="55">
        <f t="shared" si="325"/>
        <v>2</v>
      </c>
      <c r="Q1235" s="50">
        <f>IF(P1235=0,"",P1235/$P1222)</f>
        <v>0.13333333333333333</v>
      </c>
    </row>
    <row r="1236" spans="2:18" ht="15.75" customHeight="1" x14ac:dyDescent="0.2">
      <c r="B1236" s="169"/>
      <c r="C1236" s="31" t="s">
        <v>78</v>
      </c>
      <c r="D1236" s="47">
        <f>VLOOKUP($B1220,[1]Complaints!$A$4:$AJ$39,13,)</f>
        <v>0</v>
      </c>
      <c r="E1236" s="48">
        <f>VLOOKUP($B1220,[2]Complaints!$A$4:$AJ$39,13,)</f>
        <v>0</v>
      </c>
      <c r="F1236" s="48">
        <f>VLOOKUP($B1220,[3]Complaints!$A$4:$AJ$39,13,)</f>
        <v>0</v>
      </c>
      <c r="G1236" s="48">
        <f>VLOOKUP($B1220,[4]Complaints!$A$4:$AJ$39,13,)</f>
        <v>0</v>
      </c>
      <c r="H1236" s="48">
        <f>VLOOKUP($B1220,[5]Complaints!$A$4:$AJ$39,13,)</f>
        <v>0</v>
      </c>
      <c r="I1236" s="48">
        <f>VLOOKUP($B1220,[6]Complaints!$A$4:$AJ$39,13,)</f>
        <v>0</v>
      </c>
      <c r="J1236" s="48">
        <f>VLOOKUP($B1220,[7]Complaints!$A$4:$AJ$39,13,)</f>
        <v>0</v>
      </c>
      <c r="K1236" s="48">
        <f>VLOOKUP($B1220,[8]Complaints!$A$4:$AJ$39,13,)</f>
        <v>0</v>
      </c>
      <c r="L1236" s="48">
        <f>VLOOKUP($B1220,[9]Complaints!$A$4:$AJ$39,13,)</f>
        <v>0</v>
      </c>
      <c r="M1236" s="48">
        <f>VLOOKUP($B1220,[10]Complaints!$A$4:$AJ$39,13,)</f>
        <v>0</v>
      </c>
      <c r="N1236" s="48">
        <f>VLOOKUP($B1220,[11]Complaints!$A$4:$AJ$39,13,)</f>
        <v>0</v>
      </c>
      <c r="O1236" s="49">
        <f>VLOOKUP($B1220,[12]Complaints!$A$4:$AJ$39,13,)</f>
        <v>0</v>
      </c>
      <c r="P1236" s="55">
        <f t="shared" si="325"/>
        <v>0</v>
      </c>
      <c r="Q1236" s="50" t="str">
        <f>IF(P1236=0,"",P1236/$P1222)</f>
        <v/>
      </c>
      <c r="R1236" s="18"/>
    </row>
    <row r="1237" spans="2:18" ht="15.75" customHeight="1" x14ac:dyDescent="0.2">
      <c r="B1237" s="169"/>
      <c r="C1237" s="31" t="s">
        <v>92</v>
      </c>
      <c r="D1237" s="47">
        <f>VLOOKUP($B1220,[1]Complaints!$A$4:$AJ$39,14,)</f>
        <v>0</v>
      </c>
      <c r="E1237" s="48">
        <f>VLOOKUP($B1220,[2]Complaints!$A$4:$AJ$39,14,)</f>
        <v>0</v>
      </c>
      <c r="F1237" s="48">
        <f>VLOOKUP($B1220,[3]Complaints!$A$4:$AJ$39,14,)</f>
        <v>0</v>
      </c>
      <c r="G1237" s="48">
        <f>VLOOKUP($B1220,[4]Complaints!$A$4:$AJ$39,14,)</f>
        <v>0</v>
      </c>
      <c r="H1237" s="48">
        <f>VLOOKUP($B1220,[5]Complaints!$A$4:$AJ$39,14,)</f>
        <v>0</v>
      </c>
      <c r="I1237" s="48">
        <f>VLOOKUP($B1220,[6]Complaints!$A$4:$AJ$39,14,)</f>
        <v>0</v>
      </c>
      <c r="J1237" s="48">
        <f>VLOOKUP($B1220,[7]Complaints!$A$4:$AJ$39,14,)</f>
        <v>0</v>
      </c>
      <c r="K1237" s="48">
        <f>VLOOKUP($B1220,[8]Complaints!$A$4:$AJ$39,14,)</f>
        <v>0</v>
      </c>
      <c r="L1237" s="48">
        <f>VLOOKUP($B1220,[9]Complaints!$A$4:$AJ$39,14,)</f>
        <v>0</v>
      </c>
      <c r="M1237" s="48">
        <f>VLOOKUP($B1220,[10]Complaints!$A$4:$AJ$39,14,)</f>
        <v>0</v>
      </c>
      <c r="N1237" s="48">
        <f>VLOOKUP($B1220,[11]Complaints!$A$4:$AJ$39,14,)</f>
        <v>0</v>
      </c>
      <c r="O1237" s="49">
        <f>VLOOKUP($B1220,[12]Complaints!$A$4:$AJ$39,14,)</f>
        <v>0</v>
      </c>
      <c r="P1237" s="55">
        <f t="shared" si="325"/>
        <v>0</v>
      </c>
      <c r="Q1237" s="50" t="str">
        <f>IF(P1237=0,"",P1237/$P1222)</f>
        <v/>
      </c>
      <c r="R1237" s="18"/>
    </row>
    <row r="1238" spans="2:18" ht="15.75" customHeight="1" x14ac:dyDescent="0.2">
      <c r="B1238" s="169"/>
      <c r="C1238" s="31" t="s">
        <v>91</v>
      </c>
      <c r="D1238" s="47">
        <f>VLOOKUP($B1220,[1]Complaints!$A$4:$AJ$39,15,)</f>
        <v>0</v>
      </c>
      <c r="E1238" s="48">
        <f>VLOOKUP($B1220,[2]Complaints!$A$4:$AJ$39,15,)</f>
        <v>0</v>
      </c>
      <c r="F1238" s="48">
        <f>VLOOKUP($B1220,[3]Complaints!$A$4:$AJ$39,15,)</f>
        <v>0</v>
      </c>
      <c r="G1238" s="48">
        <f>VLOOKUP($B1220,[4]Complaints!$A$4:$AJ$39,15,)</f>
        <v>0</v>
      </c>
      <c r="H1238" s="48">
        <f>VLOOKUP($B1220,[5]Complaints!$A$4:$AJ$39,15,)</f>
        <v>0</v>
      </c>
      <c r="I1238" s="48">
        <f>VLOOKUP($B1220,[6]Complaints!$A$4:$AJ$39,15,)</f>
        <v>0</v>
      </c>
      <c r="J1238" s="48">
        <f>VLOOKUP($B1220,[7]Complaints!$A$4:$AJ$39,15,)</f>
        <v>0</v>
      </c>
      <c r="K1238" s="48">
        <f>VLOOKUP($B1220,[8]Complaints!$A$4:$AJ$39,15,)</f>
        <v>0</v>
      </c>
      <c r="L1238" s="48">
        <f>VLOOKUP($B1220,[9]Complaints!$A$4:$AJ$39,15,)</f>
        <v>0</v>
      </c>
      <c r="M1238" s="48">
        <f>VLOOKUP($B1220,[10]Complaints!$A$4:$AJ$39,15,)</f>
        <v>0</v>
      </c>
      <c r="N1238" s="48">
        <f>VLOOKUP($B1220,[11]Complaints!$A$4:$AJ$39,15,)</f>
        <v>0</v>
      </c>
      <c r="O1238" s="49">
        <f>VLOOKUP($B1220,[12]Complaints!$A$4:$AJ$39,15,)</f>
        <v>0</v>
      </c>
      <c r="P1238" s="55">
        <f t="shared" si="325"/>
        <v>0</v>
      </c>
      <c r="Q1238" s="50" t="str">
        <f>IF(P1238=0,"",P1238/$P1222)</f>
        <v/>
      </c>
      <c r="R1238" s="18"/>
    </row>
    <row r="1239" spans="2:18" ht="15.75" customHeight="1" x14ac:dyDescent="0.2">
      <c r="B1239" s="169"/>
      <c r="C1239" s="31" t="s">
        <v>79</v>
      </c>
      <c r="D1239" s="47">
        <f>VLOOKUP($B1220,[1]Complaints!$A$4:$AJ$39,16,)</f>
        <v>0</v>
      </c>
      <c r="E1239" s="48">
        <f>VLOOKUP($B1220,[2]Complaints!$A$4:$AJ$39,16,)</f>
        <v>0</v>
      </c>
      <c r="F1239" s="48">
        <f>VLOOKUP($B1220,[3]Complaints!$A$4:$AJ$39,16,)</f>
        <v>0</v>
      </c>
      <c r="G1239" s="48">
        <f>VLOOKUP($B1220,[4]Complaints!$A$4:$AJ$39,16,)</f>
        <v>0</v>
      </c>
      <c r="H1239" s="48">
        <f>VLOOKUP($B1220,[5]Complaints!$A$4:$AJ$39,16,)</f>
        <v>0</v>
      </c>
      <c r="I1239" s="48">
        <f>VLOOKUP($B1220,[6]Complaints!$A$4:$AJ$39,16,)</f>
        <v>0</v>
      </c>
      <c r="J1239" s="48">
        <f>VLOOKUP($B1220,[7]Complaints!$A$4:$AJ$39,16,)</f>
        <v>0</v>
      </c>
      <c r="K1239" s="48">
        <f>VLOOKUP($B1220,[8]Complaints!$A$4:$AJ$39,16,)</f>
        <v>0</v>
      </c>
      <c r="L1239" s="48">
        <f>VLOOKUP($B1220,[9]Complaints!$A$4:$AJ$39,16,)</f>
        <v>0</v>
      </c>
      <c r="M1239" s="48">
        <f>VLOOKUP($B1220,[10]Complaints!$A$4:$AJ$39,16,)</f>
        <v>0</v>
      </c>
      <c r="N1239" s="48">
        <f>VLOOKUP($B1220,[11]Complaints!$A$4:$AJ$39,16,)</f>
        <v>0</v>
      </c>
      <c r="O1239" s="49">
        <f>VLOOKUP($B1220,[12]Complaints!$A$4:$AJ$39,16,)</f>
        <v>0</v>
      </c>
      <c r="P1239" s="55">
        <f t="shared" si="325"/>
        <v>0</v>
      </c>
      <c r="Q1239" s="50" t="str">
        <f>IF(P1239=0,"",P1239/$P1222)</f>
        <v/>
      </c>
      <c r="R1239" s="18"/>
    </row>
    <row r="1240" spans="2:18" ht="15.75" customHeight="1" x14ac:dyDescent="0.2">
      <c r="B1240" s="169"/>
      <c r="C1240" s="31" t="s">
        <v>80</v>
      </c>
      <c r="D1240" s="47">
        <f>VLOOKUP($B1220,[1]Complaints!$A$4:$AJ$39,17,)</f>
        <v>0</v>
      </c>
      <c r="E1240" s="48">
        <f>VLOOKUP($B1220,[2]Complaints!$A$4:$AJ$39,17,)</f>
        <v>0</v>
      </c>
      <c r="F1240" s="48">
        <f>VLOOKUP($B1220,[3]Complaints!$A$4:$AJ$39,17,)</f>
        <v>0</v>
      </c>
      <c r="G1240" s="48">
        <f>VLOOKUP($B1220,[4]Complaints!$A$4:$AJ$39,17,)</f>
        <v>0</v>
      </c>
      <c r="H1240" s="48">
        <f>VLOOKUP($B1220,[5]Complaints!$A$4:$AJ$39,17,)</f>
        <v>0</v>
      </c>
      <c r="I1240" s="48">
        <f>VLOOKUP($B1220,[6]Complaints!$A$4:$AJ$39,17,)</f>
        <v>0</v>
      </c>
      <c r="J1240" s="48">
        <f>VLOOKUP($B1220,[7]Complaints!$A$4:$AJ$39,17,)</f>
        <v>0</v>
      </c>
      <c r="K1240" s="48">
        <f>VLOOKUP($B1220,[8]Complaints!$A$4:$AJ$39,17,)</f>
        <v>0</v>
      </c>
      <c r="L1240" s="48">
        <f>VLOOKUP($B1220,[9]Complaints!$A$4:$AJ$39,17,)</f>
        <v>0</v>
      </c>
      <c r="M1240" s="48">
        <f>VLOOKUP($B1220,[10]Complaints!$A$4:$AJ$39,17,)</f>
        <v>0</v>
      </c>
      <c r="N1240" s="48">
        <f>VLOOKUP($B1220,[11]Complaints!$A$4:$AJ$39,17,)</f>
        <v>0</v>
      </c>
      <c r="O1240" s="49">
        <f>VLOOKUP($B1220,[12]Complaints!$A$4:$AJ$39,17,)</f>
        <v>0</v>
      </c>
      <c r="P1240" s="55">
        <f t="shared" si="325"/>
        <v>0</v>
      </c>
      <c r="Q1240" s="50" t="str">
        <f>IF(P1240=0,"",P1240/$P1222)</f>
        <v/>
      </c>
      <c r="R1240" s="18"/>
    </row>
    <row r="1241" spans="2:18" ht="15.75" customHeight="1" x14ac:dyDescent="0.2">
      <c r="B1241" s="169"/>
      <c r="C1241" s="31" t="s">
        <v>81</v>
      </c>
      <c r="D1241" s="47">
        <f>VLOOKUP($B1220,[1]Complaints!$A$4:$AJ$39,18,)</f>
        <v>0</v>
      </c>
      <c r="E1241" s="48">
        <f>VLOOKUP($B1220,[2]Complaints!$A$4:$AJ$39,18,)</f>
        <v>0</v>
      </c>
      <c r="F1241" s="48">
        <f>VLOOKUP($B1220,[3]Complaints!$A$4:$AJ$39,18,)</f>
        <v>0</v>
      </c>
      <c r="G1241" s="48">
        <f>VLOOKUP($B1220,[4]Complaints!$A$4:$AJ$39,18,)</f>
        <v>0</v>
      </c>
      <c r="H1241" s="48">
        <f>VLOOKUP($B1220,[5]Complaints!$A$4:$AJ$39,18,)</f>
        <v>0</v>
      </c>
      <c r="I1241" s="48">
        <f>VLOOKUP($B1220,[6]Complaints!$A$4:$AJ$39,18,)</f>
        <v>0</v>
      </c>
      <c r="J1241" s="48">
        <f>VLOOKUP($B1220,[7]Complaints!$A$4:$AJ$39,18,)</f>
        <v>0</v>
      </c>
      <c r="K1241" s="48">
        <f>VLOOKUP($B1220,[8]Complaints!$A$4:$AJ$39,18,)</f>
        <v>0</v>
      </c>
      <c r="L1241" s="48">
        <f>VLOOKUP($B1220,[9]Complaints!$A$4:$AJ$39,18,)</f>
        <v>0</v>
      </c>
      <c r="M1241" s="48">
        <f>VLOOKUP($B1220,[10]Complaints!$A$4:$AJ$39,18,)</f>
        <v>0</v>
      </c>
      <c r="N1241" s="48">
        <f>VLOOKUP($B1220,[11]Complaints!$A$4:$AJ$39,18,)</f>
        <v>0</v>
      </c>
      <c r="O1241" s="49">
        <f>VLOOKUP($B1220,[12]Complaints!$A$4:$AJ$39,18,)</f>
        <v>0</v>
      </c>
      <c r="P1241" s="55">
        <f t="shared" si="325"/>
        <v>0</v>
      </c>
      <c r="Q1241" s="50" t="str">
        <f>IF(P1241=0,"",P1241/$P1222)</f>
        <v/>
      </c>
      <c r="R1241" s="18"/>
    </row>
    <row r="1242" spans="2:18" ht="15.75" customHeight="1" x14ac:dyDescent="0.2">
      <c r="B1242" s="169"/>
      <c r="C1242" s="31" t="s">
        <v>82</v>
      </c>
      <c r="D1242" s="47">
        <f>VLOOKUP($B1220,[1]Complaints!$A$4:$AJ$39,19,)</f>
        <v>0</v>
      </c>
      <c r="E1242" s="48">
        <f>VLOOKUP($B1220,[2]Complaints!$A$4:$AJ$39,19,)</f>
        <v>0</v>
      </c>
      <c r="F1242" s="48">
        <f>VLOOKUP($B1220,[3]Complaints!$A$4:$AJ$39,19,)</f>
        <v>0</v>
      </c>
      <c r="G1242" s="48">
        <f>VLOOKUP($B1220,[4]Complaints!$A$4:$AJ$39,19,)</f>
        <v>0</v>
      </c>
      <c r="H1242" s="48">
        <f>VLOOKUP($B1220,[5]Complaints!$A$4:$AJ$39,19,)</f>
        <v>0</v>
      </c>
      <c r="I1242" s="48">
        <f>VLOOKUP($B1220,[6]Complaints!$A$4:$AJ$39,19,)</f>
        <v>0</v>
      </c>
      <c r="J1242" s="48">
        <f>VLOOKUP($B1220,[7]Complaints!$A$4:$AJ$39,19,)</f>
        <v>0</v>
      </c>
      <c r="K1242" s="48">
        <f>VLOOKUP($B1220,[8]Complaints!$A$4:$AJ$39,19,)</f>
        <v>0</v>
      </c>
      <c r="L1242" s="48">
        <f>VLOOKUP($B1220,[9]Complaints!$A$4:$AJ$39,19,)</f>
        <v>0</v>
      </c>
      <c r="M1242" s="48">
        <f>VLOOKUP($B1220,[10]Complaints!$A$4:$AJ$39,19,)</f>
        <v>0</v>
      </c>
      <c r="N1242" s="48">
        <f>VLOOKUP($B1220,[11]Complaints!$A$4:$AJ$39,19,)</f>
        <v>0</v>
      </c>
      <c r="O1242" s="49">
        <f>VLOOKUP($B1220,[12]Complaints!$A$4:$AJ$39,19,)</f>
        <v>0</v>
      </c>
      <c r="P1242" s="55">
        <f t="shared" si="325"/>
        <v>0</v>
      </c>
      <c r="Q1242" s="50" t="str">
        <f>IF(P1242=0,"",P1242/$P1222)</f>
        <v/>
      </c>
      <c r="R1242" s="18"/>
    </row>
    <row r="1243" spans="2:18" ht="15.75" customHeight="1" thickBot="1" x14ac:dyDescent="0.25">
      <c r="B1243" s="170"/>
      <c r="C1243" s="31" t="s">
        <v>83</v>
      </c>
      <c r="D1243" s="47">
        <f>VLOOKUP($B1220,[1]Complaints!$A$4:$AJ$39,20,)</f>
        <v>0</v>
      </c>
      <c r="E1243" s="48">
        <f>VLOOKUP($B1220,[2]Complaints!$A$4:$AJ$39,20,)</f>
        <v>0</v>
      </c>
      <c r="F1243" s="48">
        <f>VLOOKUP($B1220,[3]Complaints!$A$4:$AJ$39,20,)</f>
        <v>0</v>
      </c>
      <c r="G1243" s="48">
        <f>VLOOKUP($B1220,[4]Complaints!$A$4:$AJ$39,20,)</f>
        <v>0</v>
      </c>
      <c r="H1243" s="48">
        <f>VLOOKUP($B1220,[5]Complaints!$A$4:$AJ$39,20,)</f>
        <v>0</v>
      </c>
      <c r="I1243" s="48">
        <f>VLOOKUP($B1220,[6]Complaints!$A$4:$AJ$39,20,)</f>
        <v>0</v>
      </c>
      <c r="J1243" s="48">
        <f>VLOOKUP($B1220,[7]Complaints!$A$4:$AJ$39,20,)</f>
        <v>0</v>
      </c>
      <c r="K1243" s="48">
        <f>VLOOKUP($B1220,[8]Complaints!$A$4:$AJ$39,20,)</f>
        <v>0</v>
      </c>
      <c r="L1243" s="48">
        <f>VLOOKUP($B1220,[9]Complaints!$A$4:$AJ$39,20,)</f>
        <v>0</v>
      </c>
      <c r="M1243" s="48">
        <f>VLOOKUP($B1220,[10]Complaints!$A$4:$AJ$39,20,)</f>
        <v>0</v>
      </c>
      <c r="N1243" s="48">
        <f>VLOOKUP($B1220,[11]Complaints!$A$4:$AJ$39,20,)</f>
        <v>0</v>
      </c>
      <c r="O1243" s="49">
        <f>VLOOKUP($B1220,[12]Complaints!$A$4:$AJ$39,20,)</f>
        <v>0</v>
      </c>
      <c r="P1243" s="55">
        <f t="shared" si="325"/>
        <v>0</v>
      </c>
      <c r="Q1243" s="50" t="str">
        <f>IF(P1243=0,"",P1243/$P1222)</f>
        <v/>
      </c>
      <c r="R1243" s="18"/>
    </row>
    <row r="1244" spans="2:18" ht="15.75" customHeight="1" x14ac:dyDescent="0.2">
      <c r="B1244" s="144" t="s">
        <v>90</v>
      </c>
      <c r="C1244" s="37" t="s">
        <v>118</v>
      </c>
      <c r="D1244" s="62">
        <f>VLOOKUP($B1220,[1]Complaints!$A$4:$AJ$39,21,)</f>
        <v>0</v>
      </c>
      <c r="E1244" s="63">
        <f>VLOOKUP($B1220,[2]Complaints!$A$4:$AJ$39,21,)</f>
        <v>0</v>
      </c>
      <c r="F1244" s="63">
        <f>VLOOKUP($B1220,[3]Complaints!$A$4:$AJ$39,21,)</f>
        <v>1</v>
      </c>
      <c r="G1244" s="63">
        <f>VLOOKUP($B1220,[4]Complaints!$A$4:$AJ$39,21,)</f>
        <v>0</v>
      </c>
      <c r="H1244" s="63">
        <f>VLOOKUP($B1220,[5]Complaints!$A$4:$AJ$39,21,)</f>
        <v>0</v>
      </c>
      <c r="I1244" s="63">
        <f>VLOOKUP($B1220,[6]Complaints!$A$4:$AJ$39,21,)</f>
        <v>0</v>
      </c>
      <c r="J1244" s="63">
        <f>VLOOKUP($B1220,[7]Complaints!$A$4:$AJ$39,21,)</f>
        <v>3</v>
      </c>
      <c r="K1244" s="63">
        <f>VLOOKUP($B1220,[8]Complaints!$A$4:$AJ$39,21,)</f>
        <v>3</v>
      </c>
      <c r="L1244" s="63">
        <f>VLOOKUP($B1220,[9]Complaints!$A$4:$AJ$39,21,)</f>
        <v>1</v>
      </c>
      <c r="M1244" s="63">
        <f>VLOOKUP($B1220,[10]Complaints!$A$4:$AJ$39,21,)</f>
        <v>2</v>
      </c>
      <c r="N1244" s="63">
        <f>VLOOKUP($B1220,[11]Complaints!$A$4:$AJ$39,21,)</f>
        <v>0</v>
      </c>
      <c r="O1244" s="64">
        <f>VLOOKUP($B1220,[12]Complaints!$A$4:$AJ$39,21,)</f>
        <v>0</v>
      </c>
      <c r="P1244" s="65">
        <f>SUM(D1244:O1244)</f>
        <v>10</v>
      </c>
      <c r="Q1244" s="46">
        <f>IF(P1244=0,"",P1244/$P1228)</f>
        <v>1.25</v>
      </c>
      <c r="R1244" s="18"/>
    </row>
    <row r="1245" spans="2:18" ht="15.75" customHeight="1" x14ac:dyDescent="0.2">
      <c r="B1245" s="145"/>
      <c r="C1245" s="38" t="s">
        <v>77</v>
      </c>
      <c r="D1245" s="66">
        <f>VLOOKUP($B1220,[1]Complaints!$A$4:$AJ$39,22,)</f>
        <v>0</v>
      </c>
      <c r="E1245" s="67">
        <f>VLOOKUP($B1220,[2]Complaints!$A$4:$AJ$39,22,)</f>
        <v>0</v>
      </c>
      <c r="F1245" s="67">
        <f>VLOOKUP($B1220,[3]Complaints!$A$4:$AJ$39,22,)</f>
        <v>0</v>
      </c>
      <c r="G1245" s="67">
        <f>VLOOKUP($B1220,[4]Complaints!$A$4:$AJ$39,22,)</f>
        <v>0</v>
      </c>
      <c r="H1245" s="67">
        <f>VLOOKUP($B1220,[5]Complaints!$A$4:$AJ$39,22,)</f>
        <v>0</v>
      </c>
      <c r="I1245" s="67">
        <f>VLOOKUP($B1220,[6]Complaints!$A$4:$AJ$39,22,)</f>
        <v>0</v>
      </c>
      <c r="J1245" s="67">
        <f>VLOOKUP($B1220,[7]Complaints!$A$4:$AJ$39,22,)</f>
        <v>1</v>
      </c>
      <c r="K1245" s="67">
        <f>VLOOKUP($B1220,[8]Complaints!$A$4:$AJ$39,22,)</f>
        <v>1</v>
      </c>
      <c r="L1245" s="67">
        <f>VLOOKUP($B1220,[9]Complaints!$A$4:$AJ$39,22,)</f>
        <v>0</v>
      </c>
      <c r="M1245" s="67">
        <f>VLOOKUP($B1220,[10]Complaints!$A$4:$AJ$39,22,)</f>
        <v>0</v>
      </c>
      <c r="N1245" s="67">
        <f>VLOOKUP($B1220,[11]Complaints!$A$4:$AJ$39,22,)</f>
        <v>0</v>
      </c>
      <c r="O1245" s="68">
        <f>VLOOKUP($B1220,[12]Complaints!$A$4:$AJ$39,22,)</f>
        <v>0</v>
      </c>
      <c r="P1245" s="69">
        <f t="shared" ref="P1245:P1259" si="326">SUM(D1245:O1245)</f>
        <v>2</v>
      </c>
      <c r="Q1245" s="70">
        <f>IF(P1245=0,"",P1245/$P1228)</f>
        <v>0.25</v>
      </c>
      <c r="R1245" s="18"/>
    </row>
    <row r="1246" spans="2:18" ht="15.75" customHeight="1" x14ac:dyDescent="0.2">
      <c r="B1246" s="145"/>
      <c r="C1246" s="38" t="s">
        <v>108</v>
      </c>
      <c r="D1246" s="66">
        <f>VLOOKUP($B1220,[1]Complaints!$A$4:$AJ$39,23,)</f>
        <v>0</v>
      </c>
      <c r="E1246" s="67">
        <f>VLOOKUP($B1220,[2]Complaints!$A$4:$AJ$39,23,)</f>
        <v>0</v>
      </c>
      <c r="F1246" s="67">
        <f>VLOOKUP($B1220,[3]Complaints!$A$4:$AJ$39,23,)</f>
        <v>1</v>
      </c>
      <c r="G1246" s="67">
        <f>VLOOKUP($B1220,[4]Complaints!$A$4:$AJ$39,23,)</f>
        <v>0</v>
      </c>
      <c r="H1246" s="67">
        <f>VLOOKUP($B1220,[5]Complaints!$A$4:$AJ$39,23,)</f>
        <v>0</v>
      </c>
      <c r="I1246" s="67">
        <f>VLOOKUP($B1220,[6]Complaints!$A$4:$AJ$39,23,)</f>
        <v>0</v>
      </c>
      <c r="J1246" s="67">
        <f>VLOOKUP($B1220,[7]Complaints!$A$4:$AJ$39,23,)</f>
        <v>0</v>
      </c>
      <c r="K1246" s="67">
        <f>VLOOKUP($B1220,[8]Complaints!$A$4:$AJ$39,23,)</f>
        <v>0</v>
      </c>
      <c r="L1246" s="67">
        <f>VLOOKUP($B1220,[9]Complaints!$A$4:$AJ$39,23,)</f>
        <v>0</v>
      </c>
      <c r="M1246" s="67">
        <f>VLOOKUP($B1220,[10]Complaints!$A$4:$AJ$39,23,)</f>
        <v>0</v>
      </c>
      <c r="N1246" s="67">
        <f>VLOOKUP($B1220,[11]Complaints!$A$4:$AJ$39,23,)</f>
        <v>0</v>
      </c>
      <c r="O1246" s="68">
        <f>VLOOKUP($B1220,[12]Complaints!$A$4:$AJ$39,23,)</f>
        <v>0</v>
      </c>
      <c r="P1246" s="69">
        <f t="shared" si="326"/>
        <v>1</v>
      </c>
      <c r="Q1246" s="70">
        <f>IF(P1246=0,"",P1246/$P1228)</f>
        <v>0.125</v>
      </c>
      <c r="R1246" s="18"/>
    </row>
    <row r="1247" spans="2:18" ht="15.75" customHeight="1" x14ac:dyDescent="0.2">
      <c r="B1247" s="145"/>
      <c r="C1247" s="38" t="s">
        <v>88</v>
      </c>
      <c r="D1247" s="66">
        <f>VLOOKUP($B1220,[1]Complaints!$A$4:$AJ$39,24,)</f>
        <v>0</v>
      </c>
      <c r="E1247" s="67">
        <f>VLOOKUP($B1220,[2]Complaints!$A$4:$AJ$39,24,)</f>
        <v>0</v>
      </c>
      <c r="F1247" s="67">
        <f>VLOOKUP($B1220,[3]Complaints!$A$4:$AJ$39,24,)</f>
        <v>0</v>
      </c>
      <c r="G1247" s="67">
        <f>VLOOKUP($B1220,[4]Complaints!$A$4:$AJ$39,24,)</f>
        <v>0</v>
      </c>
      <c r="H1247" s="67">
        <f>VLOOKUP($B1220,[5]Complaints!$A$4:$AJ$39,24,)</f>
        <v>0</v>
      </c>
      <c r="I1247" s="67">
        <f>VLOOKUP($B1220,[6]Complaints!$A$4:$AJ$39,24,)</f>
        <v>0</v>
      </c>
      <c r="J1247" s="67">
        <f>VLOOKUP($B1220,[7]Complaints!$A$4:$AJ$39,24,)</f>
        <v>0</v>
      </c>
      <c r="K1247" s="67">
        <f>VLOOKUP($B1220,[8]Complaints!$A$4:$AJ$39,24,)</f>
        <v>0</v>
      </c>
      <c r="L1247" s="67">
        <f>VLOOKUP($B1220,[9]Complaints!$A$4:$AJ$39,24,)</f>
        <v>0</v>
      </c>
      <c r="M1247" s="67">
        <f>VLOOKUP($B1220,[10]Complaints!$A$4:$AJ$39,24,)</f>
        <v>0</v>
      </c>
      <c r="N1247" s="67">
        <f>VLOOKUP($B1220,[11]Complaints!$A$4:$AJ$39,24,)</f>
        <v>0</v>
      </c>
      <c r="O1247" s="68">
        <f>VLOOKUP($B1220,[12]Complaints!$A$4:$AJ$39,24,)</f>
        <v>0</v>
      </c>
      <c r="P1247" s="69">
        <f t="shared" si="326"/>
        <v>0</v>
      </c>
      <c r="Q1247" s="70" t="str">
        <f>IF(P1247=0,"",P1247/$P1228)</f>
        <v/>
      </c>
      <c r="R1247" s="18"/>
    </row>
    <row r="1248" spans="2:18" ht="15.75" customHeight="1" x14ac:dyDescent="0.2">
      <c r="B1248" s="145"/>
      <c r="C1248" s="38" t="s">
        <v>109</v>
      </c>
      <c r="D1248" s="66">
        <f>VLOOKUP($B1220,[1]Complaints!$A$4:$AJ$39,25,)</f>
        <v>0</v>
      </c>
      <c r="E1248" s="67">
        <f>VLOOKUP($B1220,[2]Complaints!$A$4:$AJ$39,25,)</f>
        <v>0</v>
      </c>
      <c r="F1248" s="67">
        <f>VLOOKUP($B1220,[3]Complaints!$A$4:$AJ$39,25,)</f>
        <v>0</v>
      </c>
      <c r="G1248" s="67">
        <f>VLOOKUP($B1220,[4]Complaints!$A$4:$AJ$39,25,)</f>
        <v>0</v>
      </c>
      <c r="H1248" s="67">
        <f>VLOOKUP($B1220,[5]Complaints!$A$4:$AJ$39,25,)</f>
        <v>0</v>
      </c>
      <c r="I1248" s="67">
        <f>VLOOKUP($B1220,[6]Complaints!$A$4:$AJ$39,25,)</f>
        <v>0</v>
      </c>
      <c r="J1248" s="67">
        <f>VLOOKUP($B1220,[7]Complaints!$A$4:$AJ$39,25,)</f>
        <v>1</v>
      </c>
      <c r="K1248" s="67">
        <f>VLOOKUP($B1220,[8]Complaints!$A$4:$AJ$39,25,)</f>
        <v>1</v>
      </c>
      <c r="L1248" s="67">
        <f>VLOOKUP($B1220,[9]Complaints!$A$4:$AJ$39,25,)</f>
        <v>0</v>
      </c>
      <c r="M1248" s="67">
        <f>VLOOKUP($B1220,[10]Complaints!$A$4:$AJ$39,25,)</f>
        <v>1</v>
      </c>
      <c r="N1248" s="67">
        <f>VLOOKUP($B1220,[11]Complaints!$A$4:$AJ$39,25,)</f>
        <v>0</v>
      </c>
      <c r="O1248" s="68">
        <f>VLOOKUP($B1220,[12]Complaints!$A$4:$AJ$39,25,)</f>
        <v>0</v>
      </c>
      <c r="P1248" s="69">
        <f t="shared" si="326"/>
        <v>3</v>
      </c>
      <c r="Q1248" s="70">
        <f>IF(P1248=0,"",P1248/$P1228)</f>
        <v>0.375</v>
      </c>
      <c r="R1248" s="18"/>
    </row>
    <row r="1249" spans="1:19" ht="15.75" customHeight="1" x14ac:dyDescent="0.2">
      <c r="A1249" s="21"/>
      <c r="B1249" s="145"/>
      <c r="C1249" s="38" t="s">
        <v>110</v>
      </c>
      <c r="D1249" s="66">
        <f>VLOOKUP($B1220,[1]Complaints!$A$4:$AJ$39,26,)</f>
        <v>0</v>
      </c>
      <c r="E1249" s="67">
        <f>VLOOKUP($B1220,[2]Complaints!$A$4:$AJ$39,26,)</f>
        <v>0</v>
      </c>
      <c r="F1249" s="67">
        <f>VLOOKUP($B1220,[3]Complaints!$A$4:$AJ$39,26,)</f>
        <v>0</v>
      </c>
      <c r="G1249" s="67">
        <f>VLOOKUP($B1220,[4]Complaints!$A$4:$AJ$39,26,)</f>
        <v>0</v>
      </c>
      <c r="H1249" s="67">
        <f>VLOOKUP($B1220,[5]Complaints!$A$4:$AJ$39,26,)</f>
        <v>0</v>
      </c>
      <c r="I1249" s="67">
        <f>VLOOKUP($B1220,[6]Complaints!$A$4:$AJ$39,26,)</f>
        <v>0</v>
      </c>
      <c r="J1249" s="67">
        <f>VLOOKUP($B1220,[7]Complaints!$A$4:$AJ$39,26,)</f>
        <v>1</v>
      </c>
      <c r="K1249" s="67">
        <f>VLOOKUP($B1220,[8]Complaints!$A$4:$AJ$39,26,)</f>
        <v>1</v>
      </c>
      <c r="L1249" s="67">
        <f>VLOOKUP($B1220,[9]Complaints!$A$4:$AJ$39,26,)</f>
        <v>0</v>
      </c>
      <c r="M1249" s="67">
        <f>VLOOKUP($B1220,[10]Complaints!$A$4:$AJ$39,26,)</f>
        <v>1</v>
      </c>
      <c r="N1249" s="67">
        <f>VLOOKUP($B1220,[11]Complaints!$A$4:$AJ$39,26,)</f>
        <v>0</v>
      </c>
      <c r="O1249" s="68">
        <f>VLOOKUP($B1220,[12]Complaints!$A$4:$AJ$39,26,)</f>
        <v>0</v>
      </c>
      <c r="P1249" s="69">
        <f t="shared" si="326"/>
        <v>3</v>
      </c>
      <c r="Q1249" s="70">
        <f>IF(P1249=0,"",P1249/$P1228)</f>
        <v>0.375</v>
      </c>
      <c r="R1249" s="18"/>
    </row>
    <row r="1250" spans="1:19" s="21" customFormat="1" ht="15.75" customHeight="1" x14ac:dyDescent="0.2">
      <c r="B1250" s="145"/>
      <c r="C1250" s="39" t="s">
        <v>107</v>
      </c>
      <c r="D1250" s="71">
        <f>VLOOKUP($B1220,[1]Complaints!$A$4:$AJ$39,27,)</f>
        <v>0</v>
      </c>
      <c r="E1250" s="72">
        <f>VLOOKUP($B1220,[2]Complaints!$A$4:$AJ$39,27,)</f>
        <v>0</v>
      </c>
      <c r="F1250" s="72">
        <f>VLOOKUP($B1220,[3]Complaints!$A$4:$AJ$39,27,)</f>
        <v>0</v>
      </c>
      <c r="G1250" s="72">
        <f>VLOOKUP($B1220,[4]Complaints!$A$4:$AJ$39,27,)</f>
        <v>0</v>
      </c>
      <c r="H1250" s="72">
        <f>VLOOKUP($B1220,[5]Complaints!$A$4:$AJ$39,27,)</f>
        <v>0</v>
      </c>
      <c r="I1250" s="72">
        <f>VLOOKUP($B1220,[6]Complaints!$A$4:$AJ$39,27,)</f>
        <v>0</v>
      </c>
      <c r="J1250" s="72">
        <f>VLOOKUP($B1220,[7]Complaints!$A$4:$AJ$39,27,)</f>
        <v>0</v>
      </c>
      <c r="K1250" s="72">
        <f>VLOOKUP($B1220,[8]Complaints!$A$4:$AJ$39,27,)</f>
        <v>0</v>
      </c>
      <c r="L1250" s="72">
        <f>VLOOKUP($B1220,[9]Complaints!$A$4:$AJ$39,27,)</f>
        <v>0</v>
      </c>
      <c r="M1250" s="72">
        <f>VLOOKUP($B1220,[10]Complaints!$A$4:$AJ$39,27,)</f>
        <v>0</v>
      </c>
      <c r="N1250" s="72">
        <f>VLOOKUP($B1220,[11]Complaints!$A$4:$AJ$39,27,)</f>
        <v>0</v>
      </c>
      <c r="O1250" s="73">
        <f>VLOOKUP($B1220,[12]Complaints!$A$4:$AJ$39,27,)</f>
        <v>0</v>
      </c>
      <c r="P1250" s="69">
        <f t="shared" si="326"/>
        <v>0</v>
      </c>
      <c r="Q1250" s="70" t="str">
        <f>IF(P1250=0,"",P1250/$P1228)</f>
        <v/>
      </c>
      <c r="S1250" s="18"/>
    </row>
    <row r="1251" spans="1:19" ht="15.75" customHeight="1" x14ac:dyDescent="0.2">
      <c r="B1251" s="145"/>
      <c r="C1251" s="39" t="s">
        <v>87</v>
      </c>
      <c r="D1251" s="71">
        <f>VLOOKUP($B1220,[1]Complaints!$A$4:$AJ$39,28,)</f>
        <v>0</v>
      </c>
      <c r="E1251" s="72">
        <f>VLOOKUP($B1220,[2]Complaints!$A$4:$AJ$39,28,)</f>
        <v>0</v>
      </c>
      <c r="F1251" s="72">
        <f>VLOOKUP($B1220,[3]Complaints!$A$4:$AJ$39,28,)</f>
        <v>0</v>
      </c>
      <c r="G1251" s="72">
        <f>VLOOKUP($B1220,[4]Complaints!$A$4:$AJ$39,28,)</f>
        <v>0</v>
      </c>
      <c r="H1251" s="72">
        <f>VLOOKUP($B1220,[5]Complaints!$A$4:$AJ$39,28,)</f>
        <v>0</v>
      </c>
      <c r="I1251" s="72">
        <f>VLOOKUP($B1220,[6]Complaints!$A$4:$AJ$39,28,)</f>
        <v>0</v>
      </c>
      <c r="J1251" s="72">
        <f>VLOOKUP($B1220,[7]Complaints!$A$4:$AJ$39,28,)</f>
        <v>0</v>
      </c>
      <c r="K1251" s="72">
        <f>VLOOKUP($B1220,[8]Complaints!$A$4:$AJ$39,28,)</f>
        <v>0</v>
      </c>
      <c r="L1251" s="72">
        <f>VLOOKUP($B1220,[9]Complaints!$A$4:$AJ$39,28,)</f>
        <v>1</v>
      </c>
      <c r="M1251" s="72">
        <f>VLOOKUP($B1220,[10]Complaints!$A$4:$AJ$39,28,)</f>
        <v>0</v>
      </c>
      <c r="N1251" s="72">
        <f>VLOOKUP($B1220,[11]Complaints!$A$4:$AJ$39,28,)</f>
        <v>0</v>
      </c>
      <c r="O1251" s="73">
        <f>VLOOKUP($B1220,[12]Complaints!$A$4:$AJ$39,28,)</f>
        <v>0</v>
      </c>
      <c r="P1251" s="69">
        <f t="shared" si="326"/>
        <v>1</v>
      </c>
      <c r="Q1251" s="70">
        <f>IF(P1251=0,"",P1251/$P1228)</f>
        <v>0.125</v>
      </c>
      <c r="R1251" s="18"/>
    </row>
    <row r="1252" spans="1:19" ht="15.75" customHeight="1" x14ac:dyDescent="0.2">
      <c r="B1252" s="145"/>
      <c r="C1252" s="38" t="s">
        <v>111</v>
      </c>
      <c r="D1252" s="66">
        <f>VLOOKUP($B1220,[1]Complaints!$A$4:$AJ$39,29,)</f>
        <v>0</v>
      </c>
      <c r="E1252" s="67">
        <f>VLOOKUP($B1220,[2]Complaints!$A$4:$AJ$39,29,)</f>
        <v>0</v>
      </c>
      <c r="F1252" s="67">
        <f>VLOOKUP($B1220,[3]Complaints!$A$4:$AJ$39,29,)</f>
        <v>0</v>
      </c>
      <c r="G1252" s="67">
        <f>VLOOKUP($B1220,[4]Complaints!$A$4:$AJ$39,29,)</f>
        <v>0</v>
      </c>
      <c r="H1252" s="67">
        <f>VLOOKUP($B1220,[5]Complaints!$A$4:$AJ$39,29,)</f>
        <v>0</v>
      </c>
      <c r="I1252" s="67">
        <f>VLOOKUP($B1220,[6]Complaints!$A$4:$AJ$39,29,)</f>
        <v>0</v>
      </c>
      <c r="J1252" s="67">
        <f>VLOOKUP($B1220,[7]Complaints!$A$4:$AJ$39,29,)</f>
        <v>0</v>
      </c>
      <c r="K1252" s="67">
        <f>VLOOKUP($B1220,[8]Complaints!$A$4:$AJ$39,29,)</f>
        <v>0</v>
      </c>
      <c r="L1252" s="67">
        <f>VLOOKUP($B1220,[9]Complaints!$A$4:$AJ$39,29,)</f>
        <v>0</v>
      </c>
      <c r="M1252" s="67">
        <f>VLOOKUP($B1220,[10]Complaints!$A$4:$AJ$39,29,)</f>
        <v>0</v>
      </c>
      <c r="N1252" s="67">
        <f>VLOOKUP($B1220,[11]Complaints!$A$4:$AJ$39,29,)</f>
        <v>0</v>
      </c>
      <c r="O1252" s="68">
        <f>VLOOKUP($B1220,[12]Complaints!$A$4:$AJ$39,29,)</f>
        <v>0</v>
      </c>
      <c r="P1252" s="69">
        <f t="shared" si="326"/>
        <v>0</v>
      </c>
      <c r="Q1252" s="70" t="str">
        <f>IF(P1252=0,"",P1252/$P1228)</f>
        <v/>
      </c>
      <c r="R1252" s="18"/>
    </row>
    <row r="1253" spans="1:19" ht="15.75" customHeight="1" x14ac:dyDescent="0.2">
      <c r="B1253" s="145"/>
      <c r="C1253" s="38" t="s">
        <v>112</v>
      </c>
      <c r="D1253" s="66">
        <f>VLOOKUP($B1220,[1]Complaints!$A$4:$AJ$39,30,)</f>
        <v>0</v>
      </c>
      <c r="E1253" s="67">
        <f>VLOOKUP($B1220,[2]Complaints!$A$4:$AJ$39,30,)</f>
        <v>0</v>
      </c>
      <c r="F1253" s="67">
        <f>VLOOKUP($B1220,[3]Complaints!$A$4:$AJ$39,30,)</f>
        <v>0</v>
      </c>
      <c r="G1253" s="67">
        <f>VLOOKUP($B1220,[4]Complaints!$A$4:$AJ$39,30,)</f>
        <v>0</v>
      </c>
      <c r="H1253" s="67">
        <f>VLOOKUP($B1220,[5]Complaints!$A$4:$AJ$39,30,)</f>
        <v>0</v>
      </c>
      <c r="I1253" s="67">
        <f>VLOOKUP($B1220,[6]Complaints!$A$4:$AJ$39,30,)</f>
        <v>0</v>
      </c>
      <c r="J1253" s="67">
        <f>VLOOKUP($B1220,[7]Complaints!$A$4:$AJ$39,30,)</f>
        <v>0</v>
      </c>
      <c r="K1253" s="67">
        <f>VLOOKUP($B1220,[8]Complaints!$A$4:$AJ$39,30,)</f>
        <v>0</v>
      </c>
      <c r="L1253" s="67">
        <f>VLOOKUP($B1220,[9]Complaints!$A$4:$AJ$39,30,)</f>
        <v>0</v>
      </c>
      <c r="M1253" s="67">
        <f>VLOOKUP($B1220,[10]Complaints!$A$4:$AJ$39,30,)</f>
        <v>0</v>
      </c>
      <c r="N1253" s="67">
        <f>VLOOKUP($B1220,[11]Complaints!$A$4:$AJ$39,30,)</f>
        <v>0</v>
      </c>
      <c r="O1253" s="68">
        <f>VLOOKUP($B1220,[12]Complaints!$A$4:$AJ$39,30,)</f>
        <v>0</v>
      </c>
      <c r="P1253" s="69">
        <f t="shared" si="326"/>
        <v>0</v>
      </c>
      <c r="Q1253" s="70" t="str">
        <f>IF(P1253=0,"",P1253/$P1228)</f>
        <v/>
      </c>
      <c r="R1253" s="18"/>
    </row>
    <row r="1254" spans="1:19" ht="15.75" customHeight="1" x14ac:dyDescent="0.2">
      <c r="B1254" s="146"/>
      <c r="C1254" s="40" t="s">
        <v>119</v>
      </c>
      <c r="D1254" s="74">
        <f>VLOOKUP($B1220,[1]Complaints!$A$4:$AJ$39,31,)</f>
        <v>0</v>
      </c>
      <c r="E1254" s="75">
        <f>VLOOKUP($B1220,[2]Complaints!$A$4:$AJ$39,31,)</f>
        <v>0</v>
      </c>
      <c r="F1254" s="75">
        <f>VLOOKUP($B1220,[3]Complaints!$A$4:$AJ$39,31,)</f>
        <v>0</v>
      </c>
      <c r="G1254" s="75">
        <f>VLOOKUP($B1220,[4]Complaints!$A$4:$AJ$39,31,)</f>
        <v>0</v>
      </c>
      <c r="H1254" s="75">
        <f>VLOOKUP($B1220,[5]Complaints!$A$4:$AJ$39,31,)</f>
        <v>0</v>
      </c>
      <c r="I1254" s="75">
        <f>VLOOKUP($B1220,[6]Complaints!$A$4:$AJ$39,31,)</f>
        <v>0</v>
      </c>
      <c r="J1254" s="75">
        <f>VLOOKUP($B1220,[7]Complaints!$A$4:$AJ$39,31,)</f>
        <v>0</v>
      </c>
      <c r="K1254" s="75">
        <f>VLOOKUP($B1220,[8]Complaints!$A$4:$AJ$39,31,)</f>
        <v>0</v>
      </c>
      <c r="L1254" s="75">
        <f>VLOOKUP($B1220,[9]Complaints!$A$4:$AJ$39,31,)</f>
        <v>0</v>
      </c>
      <c r="M1254" s="75">
        <f>VLOOKUP($B1220,[10]Complaints!$A$4:$AJ$39,31,)</f>
        <v>0</v>
      </c>
      <c r="N1254" s="75">
        <f>VLOOKUP($B1220,[11]Complaints!$A$4:$AJ$39,31,)</f>
        <v>0</v>
      </c>
      <c r="O1254" s="76">
        <f>VLOOKUP($B1220,[12]Complaints!$A$4:$AJ$39,31,)</f>
        <v>0</v>
      </c>
      <c r="P1254" s="77">
        <f t="shared" si="326"/>
        <v>0</v>
      </c>
      <c r="Q1254" s="50" t="str">
        <f>IF(P1254=0,"",P1254/$P1228)</f>
        <v/>
      </c>
      <c r="R1254" s="18"/>
    </row>
    <row r="1255" spans="1:19" ht="15.75" customHeight="1" x14ac:dyDescent="0.2">
      <c r="B1255" s="146"/>
      <c r="C1255" s="38" t="s">
        <v>113</v>
      </c>
      <c r="D1255" s="66">
        <f>VLOOKUP($B1220,[1]Complaints!$A$4:$AJ$39,32,)</f>
        <v>0</v>
      </c>
      <c r="E1255" s="67">
        <f>VLOOKUP($B1220,[2]Complaints!$A$4:$AJ$39,32,)</f>
        <v>0</v>
      </c>
      <c r="F1255" s="67">
        <f>VLOOKUP($B1220,[3]Complaints!$A$4:$AJ$39,32,)</f>
        <v>0</v>
      </c>
      <c r="G1255" s="67">
        <f>VLOOKUP($B1220,[4]Complaints!$A$4:$AJ$39,32,)</f>
        <v>0</v>
      </c>
      <c r="H1255" s="67">
        <f>VLOOKUP($B1220,[5]Complaints!$A$4:$AJ$39,32,)</f>
        <v>0</v>
      </c>
      <c r="I1255" s="67">
        <f>VLOOKUP($B1220,[6]Complaints!$A$4:$AJ$39,32,)</f>
        <v>0</v>
      </c>
      <c r="J1255" s="67">
        <f>VLOOKUP($B1220,[7]Complaints!$A$4:$AJ$39,32,)</f>
        <v>0</v>
      </c>
      <c r="K1255" s="67">
        <f>VLOOKUP($B1220,[8]Complaints!$A$4:$AJ$39,32,)</f>
        <v>0</v>
      </c>
      <c r="L1255" s="67">
        <f>VLOOKUP($B1220,[9]Complaints!$A$4:$AJ$39,32,)</f>
        <v>0</v>
      </c>
      <c r="M1255" s="67">
        <f>VLOOKUP($B1220,[10]Complaints!$A$4:$AJ$39,32,)</f>
        <v>0</v>
      </c>
      <c r="N1255" s="67">
        <f>VLOOKUP($B1220,[11]Complaints!$A$4:$AJ$39,32,)</f>
        <v>0</v>
      </c>
      <c r="O1255" s="68">
        <f>VLOOKUP($B1220,[12]Complaints!$A$4:$AJ$39,32,)</f>
        <v>0</v>
      </c>
      <c r="P1255" s="69">
        <f t="shared" si="326"/>
        <v>0</v>
      </c>
      <c r="Q1255" s="70" t="str">
        <f>IF(P1255=0,"",P1255/$P1228)</f>
        <v/>
      </c>
      <c r="R1255" s="18"/>
    </row>
    <row r="1256" spans="1:19" ht="15.75" customHeight="1" x14ac:dyDescent="0.2">
      <c r="B1256" s="146"/>
      <c r="C1256" s="38" t="s">
        <v>114</v>
      </c>
      <c r="D1256" s="66">
        <f>VLOOKUP($B1220,[1]Complaints!$A$4:$AJ$39,33,)</f>
        <v>0</v>
      </c>
      <c r="E1256" s="67">
        <f>VLOOKUP($B1220,[2]Complaints!$A$4:$AJ$39,33,)</f>
        <v>0</v>
      </c>
      <c r="F1256" s="67">
        <f>VLOOKUP($B1220,[3]Complaints!$A$4:$AJ$39,33,)</f>
        <v>0</v>
      </c>
      <c r="G1256" s="67">
        <f>VLOOKUP($B1220,[4]Complaints!$A$4:$AJ$39,33,)</f>
        <v>0</v>
      </c>
      <c r="H1256" s="67">
        <f>VLOOKUP($B1220,[5]Complaints!$A$4:$AJ$39,33,)</f>
        <v>0</v>
      </c>
      <c r="I1256" s="67">
        <f>VLOOKUP($B1220,[6]Complaints!$A$4:$AJ$39,33,)</f>
        <v>0</v>
      </c>
      <c r="J1256" s="67">
        <f>VLOOKUP($B1220,[7]Complaints!$A$4:$AJ$39,33,)</f>
        <v>0</v>
      </c>
      <c r="K1256" s="67">
        <f>VLOOKUP($B1220,[8]Complaints!$A$4:$AJ$39,33,)</f>
        <v>0</v>
      </c>
      <c r="L1256" s="67">
        <f>VLOOKUP($B1220,[9]Complaints!$A$4:$AJ$39,33,)</f>
        <v>0</v>
      </c>
      <c r="M1256" s="67">
        <f>VLOOKUP($B1220,[10]Complaints!$A$4:$AJ$39,33,)</f>
        <v>0</v>
      </c>
      <c r="N1256" s="67">
        <f>VLOOKUP($B1220,[11]Complaints!$A$4:$AJ$39,33,)</f>
        <v>0</v>
      </c>
      <c r="O1256" s="68">
        <f>VLOOKUP($B1220,[12]Complaints!$A$4:$AJ$39,33,)</f>
        <v>0</v>
      </c>
      <c r="P1256" s="69">
        <f t="shared" si="326"/>
        <v>0</v>
      </c>
      <c r="Q1256" s="70" t="str">
        <f>IF(P1256=0,"",P1256/$P1228)</f>
        <v/>
      </c>
      <c r="R1256" s="18"/>
    </row>
    <row r="1257" spans="1:19" ht="15.75" customHeight="1" x14ac:dyDescent="0.2">
      <c r="B1257" s="146"/>
      <c r="C1257" s="38" t="s">
        <v>115</v>
      </c>
      <c r="D1257" s="66">
        <f>VLOOKUP($B1220,[1]Complaints!$A$4:$AJ$39,34,)</f>
        <v>0</v>
      </c>
      <c r="E1257" s="67">
        <f>VLOOKUP($B1220,[2]Complaints!$A$4:$AJ$39,34,)</f>
        <v>0</v>
      </c>
      <c r="F1257" s="67">
        <f>VLOOKUP($B1220,[3]Complaints!$A$4:$AJ$39,34,)</f>
        <v>0</v>
      </c>
      <c r="G1257" s="67">
        <f>VLOOKUP($B1220,[4]Complaints!$A$4:$AJ$39,34,)</f>
        <v>0</v>
      </c>
      <c r="H1257" s="67">
        <f>VLOOKUP($B1220,[5]Complaints!$A$4:$AJ$39,34,)</f>
        <v>0</v>
      </c>
      <c r="I1257" s="67">
        <f>VLOOKUP($B1220,[6]Complaints!$A$4:$AJ$39,34,)</f>
        <v>0</v>
      </c>
      <c r="J1257" s="67">
        <f>VLOOKUP($B1220,[7]Complaints!$A$4:$AJ$39,34,)</f>
        <v>0</v>
      </c>
      <c r="K1257" s="67">
        <f>VLOOKUP($B1220,[8]Complaints!$A$4:$AJ$39,34,)</f>
        <v>0</v>
      </c>
      <c r="L1257" s="67">
        <f>VLOOKUP($B1220,[9]Complaints!$A$4:$AJ$39,34,)</f>
        <v>0</v>
      </c>
      <c r="M1257" s="67">
        <f>VLOOKUP($B1220,[10]Complaints!$A$4:$AJ$39,34,)</f>
        <v>0</v>
      </c>
      <c r="N1257" s="67">
        <f>VLOOKUP($B1220,[11]Complaints!$A$4:$AJ$39,34,)</f>
        <v>0</v>
      </c>
      <c r="O1257" s="68">
        <f>VLOOKUP($B1220,[12]Complaints!$A$4:$AJ$39,34,)</f>
        <v>0</v>
      </c>
      <c r="P1257" s="69">
        <f t="shared" si="326"/>
        <v>0</v>
      </c>
      <c r="Q1257" s="70" t="str">
        <f>IF(P1257=0,"",P1257/$P1228)</f>
        <v/>
      </c>
      <c r="R1257" s="18"/>
    </row>
    <row r="1258" spans="1:19" ht="15.75" customHeight="1" x14ac:dyDescent="0.2">
      <c r="B1258" s="146"/>
      <c r="C1258" s="38" t="s">
        <v>116</v>
      </c>
      <c r="D1258" s="66">
        <f>VLOOKUP($B1220,[1]Complaints!$A$4:$AJ$39,35,)</f>
        <v>0</v>
      </c>
      <c r="E1258" s="67">
        <f>VLOOKUP($B1220,[2]Complaints!$A$4:$AJ$39,35,)</f>
        <v>0</v>
      </c>
      <c r="F1258" s="67">
        <f>VLOOKUP($B1220,[3]Complaints!$A$4:$AJ$39,35,)</f>
        <v>0</v>
      </c>
      <c r="G1258" s="67">
        <f>VLOOKUP($B1220,[4]Complaints!$A$4:$AJ$39,35,)</f>
        <v>0</v>
      </c>
      <c r="H1258" s="67">
        <f>VLOOKUP($B1220,[5]Complaints!$A$4:$AJ$39,35,)</f>
        <v>0</v>
      </c>
      <c r="I1258" s="67">
        <f>VLOOKUP($B1220,[6]Complaints!$A$4:$AJ$39,35,)</f>
        <v>0</v>
      </c>
      <c r="J1258" s="67">
        <f>VLOOKUP($B1220,[7]Complaints!$A$4:$AJ$39,35,)</f>
        <v>0</v>
      </c>
      <c r="K1258" s="67">
        <f>VLOOKUP($B1220,[8]Complaints!$A$4:$AJ$39,35,)</f>
        <v>0</v>
      </c>
      <c r="L1258" s="67">
        <f>VLOOKUP($B1220,[9]Complaints!$A$4:$AJ$39,35,)</f>
        <v>0</v>
      </c>
      <c r="M1258" s="67">
        <f>VLOOKUP($B1220,[10]Complaints!$A$4:$AJ$39,35,)</f>
        <v>0</v>
      </c>
      <c r="N1258" s="67">
        <f>VLOOKUP($B1220,[11]Complaints!$A$4:$AJ$39,35,)</f>
        <v>0</v>
      </c>
      <c r="O1258" s="68">
        <f>VLOOKUP($B1220,[12]Complaints!$A$4:$AJ$39,35,)</f>
        <v>0</v>
      </c>
      <c r="P1258" s="69">
        <f t="shared" si="326"/>
        <v>0</v>
      </c>
      <c r="Q1258" s="70" t="str">
        <f>IF(P1258=0,"",P1258/$P1228)</f>
        <v/>
      </c>
      <c r="R1258" s="18"/>
    </row>
    <row r="1259" spans="1:19" ht="15.75" customHeight="1" thickBot="1" x14ac:dyDescent="0.25">
      <c r="B1259" s="147"/>
      <c r="C1259" s="41" t="s">
        <v>117</v>
      </c>
      <c r="D1259" s="78">
        <f>VLOOKUP($B1220,[1]Complaints!$A$4:$AJ$39,36,)</f>
        <v>0</v>
      </c>
      <c r="E1259" s="79">
        <f>VLOOKUP($B1220,[2]Complaints!$A$4:$AJ$39,36,)</f>
        <v>0</v>
      </c>
      <c r="F1259" s="79">
        <f>VLOOKUP($B1220,[3]Complaints!$A$4:$AJ$39,36,)</f>
        <v>0</v>
      </c>
      <c r="G1259" s="79">
        <f>VLOOKUP($B1220,[4]Complaints!$A$4:$AJ$39,36,)</f>
        <v>0</v>
      </c>
      <c r="H1259" s="79">
        <f>VLOOKUP($B1220,[5]Complaints!$A$4:$AJ$39,36,)</f>
        <v>0</v>
      </c>
      <c r="I1259" s="79">
        <f>VLOOKUP($B1220,[6]Complaints!$A$4:$AJ$39,36,)</f>
        <v>0</v>
      </c>
      <c r="J1259" s="79">
        <f>VLOOKUP($B1220,[7]Complaints!$A$4:$AJ$39,36,)</f>
        <v>0</v>
      </c>
      <c r="K1259" s="79">
        <f>VLOOKUP($B1220,[8]Complaints!$A$4:$AJ$39,36,)</f>
        <v>0</v>
      </c>
      <c r="L1259" s="79">
        <f>VLOOKUP($B1220,[9]Complaints!$A$4:$AJ$39,36,)</f>
        <v>0</v>
      </c>
      <c r="M1259" s="79">
        <f>VLOOKUP($B1220,[10]Complaints!$A$4:$AJ$39,36,)</f>
        <v>0</v>
      </c>
      <c r="N1259" s="79">
        <f>VLOOKUP($B1220,[11]Complaints!$A$4:$AJ$39,36,)</f>
        <v>0</v>
      </c>
      <c r="O1259" s="80">
        <f>VLOOKUP($B1220,[12]Complaints!$A$4:$AJ$39,36,)</f>
        <v>0</v>
      </c>
      <c r="P1259" s="81">
        <f t="shared" si="326"/>
        <v>0</v>
      </c>
      <c r="Q1259" s="82" t="str">
        <f>IF(P1259=0,"",P1259/$P1228)</f>
        <v/>
      </c>
      <c r="R1259" s="18"/>
    </row>
    <row r="1260" spans="1:19" ht="15.75" customHeight="1" thickBot="1" x14ac:dyDescent="0.25">
      <c r="R1260" s="18"/>
    </row>
    <row r="1261" spans="1:19" ht="15.75" customHeight="1" x14ac:dyDescent="0.25">
      <c r="B1261" s="158" t="s">
        <v>36</v>
      </c>
      <c r="C1261" s="159"/>
      <c r="D1261" s="32" t="s">
        <v>0</v>
      </c>
      <c r="E1261" s="20" t="s">
        <v>1</v>
      </c>
      <c r="F1261" s="20" t="s">
        <v>2</v>
      </c>
      <c r="G1261" s="20" t="s">
        <v>3</v>
      </c>
      <c r="H1261" s="20" t="s">
        <v>4</v>
      </c>
      <c r="I1261" s="20" t="s">
        <v>5</v>
      </c>
      <c r="J1261" s="20" t="s">
        <v>6</v>
      </c>
      <c r="K1261" s="20" t="s">
        <v>7</v>
      </c>
      <c r="L1261" s="20" t="s">
        <v>8</v>
      </c>
      <c r="M1261" s="20" t="s">
        <v>9</v>
      </c>
      <c r="N1261" s="20" t="s">
        <v>10</v>
      </c>
      <c r="O1261" s="33" t="s">
        <v>11</v>
      </c>
      <c r="P1261" s="35" t="s">
        <v>12</v>
      </c>
      <c r="Q1261" s="160" t="s">
        <v>104</v>
      </c>
      <c r="R1261" s="18"/>
    </row>
    <row r="1262" spans="1:19" ht="15.75" customHeight="1" thickBot="1" x14ac:dyDescent="0.3">
      <c r="B1262" s="162" t="s">
        <v>47</v>
      </c>
      <c r="C1262" s="163"/>
      <c r="D1262" s="34">
        <v>2020</v>
      </c>
      <c r="E1262" s="34">
        <v>2020</v>
      </c>
      <c r="F1262" s="34">
        <v>2020</v>
      </c>
      <c r="G1262" s="34">
        <v>2020</v>
      </c>
      <c r="H1262" s="34">
        <v>2020</v>
      </c>
      <c r="I1262" s="34">
        <v>2020</v>
      </c>
      <c r="J1262" s="34">
        <v>2020</v>
      </c>
      <c r="K1262" s="34">
        <v>2020</v>
      </c>
      <c r="L1262" s="34">
        <v>2020</v>
      </c>
      <c r="M1262" s="25">
        <v>2021</v>
      </c>
      <c r="N1262" s="25">
        <v>2021</v>
      </c>
      <c r="O1262" s="25">
        <v>2021</v>
      </c>
      <c r="P1262" s="36" t="s">
        <v>122</v>
      </c>
      <c r="Q1262" s="161"/>
      <c r="R1262" s="18"/>
    </row>
    <row r="1263" spans="1:19" ht="12.75" customHeight="1" thickBot="1" x14ac:dyDescent="0.25">
      <c r="B1263" s="164" t="s">
        <v>38</v>
      </c>
      <c r="C1263" s="165"/>
      <c r="D1263" s="42">
        <f>VLOOKUP($B1262,[1]Complaints!$A$4:$AJ$39,2,)</f>
        <v>229</v>
      </c>
      <c r="E1263" s="43">
        <f>VLOOKUP($B1262,[2]Complaints!$A$4:$AJ$39,2,)</f>
        <v>251</v>
      </c>
      <c r="F1263" s="43">
        <f>VLOOKUP($B1262,[3]Complaints!$A$4:$AJ$39,2)</f>
        <v>345</v>
      </c>
      <c r="G1263" s="43">
        <f>VLOOKUP($B1262,[4]Complaints!$A$4:$AJ$39,2)</f>
        <v>447</v>
      </c>
      <c r="H1263" s="43">
        <f>VLOOKUP($B1262,[5]Complaints!$A$4:$AJ$39,2)</f>
        <v>544</v>
      </c>
      <c r="I1263" s="43">
        <f>VLOOKUP($B1262,[6]Complaints!$A$4:$AJ$39,2)</f>
        <v>625</v>
      </c>
      <c r="J1263" s="43">
        <f>VLOOKUP($B1262,[7]Complaints!$A$4:$AJ$39,2)</f>
        <v>576</v>
      </c>
      <c r="K1263" s="43">
        <f>VLOOKUP($B1262,[8]Complaints!$A$4:$AJ$39,2)</f>
        <v>576</v>
      </c>
      <c r="L1263" s="43">
        <f>VLOOKUP($B1262,[9]Complaints!$A$4:$AJ$39,2)</f>
        <v>596</v>
      </c>
      <c r="M1263" s="43">
        <f>VLOOKUP($B1262,[10]Complaints!$A$4:$AJ$39,2)</f>
        <v>436</v>
      </c>
      <c r="N1263" s="43">
        <f>VLOOKUP($B1262,[11]Complaints!$A$4:$AJ$39,2)</f>
        <v>0</v>
      </c>
      <c r="O1263" s="44">
        <f>VLOOKUP($B1262,[12]Complaints!$A$4:$AJ$39,2)</f>
        <v>0</v>
      </c>
      <c r="P1263" s="45">
        <f>SUM(D1263:O1263)</f>
        <v>4625</v>
      </c>
      <c r="Q1263" s="46"/>
      <c r="R1263" s="18"/>
    </row>
    <row r="1264" spans="1:19" ht="15.75" customHeight="1" x14ac:dyDescent="0.2">
      <c r="B1264" s="166" t="s">
        <v>94</v>
      </c>
      <c r="C1264" s="167"/>
      <c r="D1264" s="47">
        <f>VLOOKUP($B1262,[1]Complaints!$A$4:$AF$39,3,)</f>
        <v>0</v>
      </c>
      <c r="E1264" s="48">
        <f>VLOOKUP($B1262,[2]Complaints!$A$4:$AF$39,3,)</f>
        <v>1</v>
      </c>
      <c r="F1264" s="48">
        <f>VLOOKUP($B1262,[3]Complaints!$A$4:$AG$39,3,)</f>
        <v>0</v>
      </c>
      <c r="G1264" s="48">
        <f>VLOOKUP($B1262,[4]Complaints!$A$4:$AG$39,3,)</f>
        <v>2</v>
      </c>
      <c r="H1264" s="48">
        <f>VLOOKUP($B1262,[5]Complaints!$A$4:$AG$39,3,)</f>
        <v>2</v>
      </c>
      <c r="I1264" s="48">
        <f>VLOOKUP($B1262,[6]Complaints!$A$4:$AG$39,3,)</f>
        <v>0</v>
      </c>
      <c r="J1264" s="48">
        <f>VLOOKUP($B1262,[7]Complaints!$A$4:$AG$39,3,)</f>
        <v>0</v>
      </c>
      <c r="K1264" s="48">
        <f>VLOOKUP($B1262,[8]Complaints!$A$4:$AG$39,3,)</f>
        <v>0</v>
      </c>
      <c r="L1264" s="48">
        <f>VLOOKUP($B1262,[9]Complaints!$A$4:$AG$39,3,)</f>
        <v>0</v>
      </c>
      <c r="M1264" s="48">
        <f>VLOOKUP($B1262,[10]Complaints!$A$4:$AG$39,3,)</f>
        <v>1</v>
      </c>
      <c r="N1264" s="48">
        <f>VLOOKUP($B1262,[11]Complaints!$A$4:$AG$39,3,)</f>
        <v>0</v>
      </c>
      <c r="O1264" s="49">
        <f>VLOOKUP($B1262,[12]Complaints!$A$4:$AG$39,3,)</f>
        <v>0</v>
      </c>
      <c r="P1264" s="45">
        <f>SUM(D1264:O1264)</f>
        <v>6</v>
      </c>
      <c r="Q1264" s="50"/>
      <c r="R1264" s="18"/>
    </row>
    <row r="1265" spans="2:18" ht="15.75" customHeight="1" x14ac:dyDescent="0.2">
      <c r="B1265" s="26"/>
      <c r="C1265" s="28" t="s">
        <v>102</v>
      </c>
      <c r="D1265" s="51">
        <f>IF(D1263=0,"",D1264/D1263)</f>
        <v>0</v>
      </c>
      <c r="E1265" s="52">
        <f t="shared" ref="E1265:O1265" si="327">IF(E1263=0,"",E1264/E1263)</f>
        <v>3.9840637450199202E-3</v>
      </c>
      <c r="F1265" s="52">
        <f t="shared" si="327"/>
        <v>0</v>
      </c>
      <c r="G1265" s="52">
        <f t="shared" si="327"/>
        <v>4.4742729306487695E-3</v>
      </c>
      <c r="H1265" s="52">
        <f t="shared" si="327"/>
        <v>3.6764705882352941E-3</v>
      </c>
      <c r="I1265" s="52">
        <f t="shared" si="327"/>
        <v>0</v>
      </c>
      <c r="J1265" s="52">
        <f t="shared" si="327"/>
        <v>0</v>
      </c>
      <c r="K1265" s="52">
        <f t="shared" si="327"/>
        <v>0</v>
      </c>
      <c r="L1265" s="52">
        <f t="shared" si="327"/>
        <v>0</v>
      </c>
      <c r="M1265" s="52">
        <f t="shared" si="327"/>
        <v>2.2935779816513763E-3</v>
      </c>
      <c r="N1265" s="52" t="str">
        <f t="shared" si="327"/>
        <v/>
      </c>
      <c r="O1265" s="53" t="str">
        <f t="shared" si="327"/>
        <v/>
      </c>
      <c r="P1265" s="54">
        <f>IF(P1264="","",P1264/P1263)</f>
        <v>1.2972972972972972E-3</v>
      </c>
      <c r="Q1265" s="50"/>
      <c r="R1265" s="18"/>
    </row>
    <row r="1266" spans="2:18" s="21" customFormat="1" ht="15.75" customHeight="1" x14ac:dyDescent="0.2">
      <c r="B1266" s="155" t="s">
        <v>95</v>
      </c>
      <c r="C1266" s="156"/>
      <c r="D1266" s="47">
        <f>VLOOKUP($B1262,[1]Complaints!$A$4:$AF$39,4,)</f>
        <v>0</v>
      </c>
      <c r="E1266" s="48">
        <f>VLOOKUP($B1262,[2]Complaints!$A$4:$AF$39,4,)</f>
        <v>0</v>
      </c>
      <c r="F1266" s="48">
        <f>VLOOKUP($B1262,[3]Complaints!$A$4:$AG$39,4,)</f>
        <v>-1</v>
      </c>
      <c r="G1266" s="48">
        <f>VLOOKUP($B1262,[4]Complaints!$A$4:$AG$39,4,)</f>
        <v>1</v>
      </c>
      <c r="H1266" s="48">
        <f>VLOOKUP($B1262,[5]Complaints!$A$4:$AG$39,4,)</f>
        <v>0</v>
      </c>
      <c r="I1266" s="48">
        <f>VLOOKUP($B1262,[6]Complaints!$A$4:$AG$39,4,)</f>
        <v>0</v>
      </c>
      <c r="J1266" s="48">
        <f>VLOOKUP($B1262,[7]Complaints!$A$4:$AG$39,4,)</f>
        <v>0</v>
      </c>
      <c r="K1266" s="48">
        <f>VLOOKUP($B1262,[8]Complaints!$A$4:$AG$39,4,)</f>
        <v>0</v>
      </c>
      <c r="L1266" s="48">
        <f>VLOOKUP($B1262,[9]Complaints!$A$4:$AG$39,4,)</f>
        <v>0</v>
      </c>
      <c r="M1266" s="48">
        <f>VLOOKUP($B1262,[10]Complaints!$A$4:$AG$39,4,)</f>
        <v>0</v>
      </c>
      <c r="N1266" s="48">
        <f>VLOOKUP($B1262,[11]Complaints!$A$4:$AG$39,4,)</f>
        <v>0</v>
      </c>
      <c r="O1266" s="49">
        <f>VLOOKUP($B1262,[12]Complaints!$A$4:$AG$39,4,)</f>
        <v>0</v>
      </c>
      <c r="P1266" s="55">
        <f t="shared" ref="P1266" si="328">SUM(D1266:O1266)</f>
        <v>0</v>
      </c>
      <c r="Q1266" s="50"/>
    </row>
    <row r="1267" spans="2:18" ht="15.75" customHeight="1" x14ac:dyDescent="0.2">
      <c r="B1267" s="26"/>
      <c r="C1267" s="28" t="s">
        <v>98</v>
      </c>
      <c r="D1267" s="51">
        <f>IF(D1263=0,"",D1266/D1263)</f>
        <v>0</v>
      </c>
      <c r="E1267" s="52">
        <f t="shared" ref="E1267:O1267" si="329">IF(E1263=0,"",E1266/E1263)</f>
        <v>0</v>
      </c>
      <c r="F1267" s="52">
        <f t="shared" si="329"/>
        <v>-2.8985507246376812E-3</v>
      </c>
      <c r="G1267" s="52">
        <f t="shared" si="329"/>
        <v>2.2371364653243847E-3</v>
      </c>
      <c r="H1267" s="52">
        <f t="shared" si="329"/>
        <v>0</v>
      </c>
      <c r="I1267" s="52">
        <f t="shared" si="329"/>
        <v>0</v>
      </c>
      <c r="J1267" s="52">
        <f t="shared" si="329"/>
        <v>0</v>
      </c>
      <c r="K1267" s="52">
        <f t="shared" si="329"/>
        <v>0</v>
      </c>
      <c r="L1267" s="52">
        <f t="shared" si="329"/>
        <v>0</v>
      </c>
      <c r="M1267" s="52">
        <f t="shared" si="329"/>
        <v>0</v>
      </c>
      <c r="N1267" s="52" t="str">
        <f t="shared" si="329"/>
        <v/>
      </c>
      <c r="O1267" s="53" t="str">
        <f t="shared" si="329"/>
        <v/>
      </c>
      <c r="P1267" s="54">
        <f>IF(P1266="","",P1266/P1263)</f>
        <v>0</v>
      </c>
      <c r="Q1267" s="50"/>
      <c r="R1267" s="18"/>
    </row>
    <row r="1268" spans="2:18" ht="15.75" customHeight="1" x14ac:dyDescent="0.2">
      <c r="B1268" s="155" t="s">
        <v>96</v>
      </c>
      <c r="C1268" s="156"/>
      <c r="D1268" s="47">
        <f>VLOOKUP($B1262,[1]Complaints!$A$4:$AF$39,5,)</f>
        <v>0</v>
      </c>
      <c r="E1268" s="48">
        <f>VLOOKUP($B1262,[2]Complaints!$A$4:$AF$39,5,)</f>
        <v>1</v>
      </c>
      <c r="F1268" s="48">
        <f>VLOOKUP($B1262,[3]Complaints!$A$4:$AG$39,5,)</f>
        <v>1</v>
      </c>
      <c r="G1268" s="48">
        <f>VLOOKUP($B1262,[4]Complaints!$A$4:$AG$39,5,)</f>
        <v>1</v>
      </c>
      <c r="H1268" s="48">
        <f>VLOOKUP($B1262,[5]Complaints!$A$4:$AG$39,5,)</f>
        <v>2</v>
      </c>
      <c r="I1268" s="48">
        <f>VLOOKUP($B1262,[6]Complaints!$A$4:$AG$39,5,)</f>
        <v>0</v>
      </c>
      <c r="J1268" s="48">
        <f>VLOOKUP($B1262,[7]Complaints!$A$4:$AG$39,5,)</f>
        <v>0</v>
      </c>
      <c r="K1268" s="48">
        <f>VLOOKUP($B1262,[8]Complaints!$A$4:$AG$39,5,)</f>
        <v>0</v>
      </c>
      <c r="L1268" s="48">
        <f>VLOOKUP($B1262,[9]Complaints!$A$4:$AG$39,5,)</f>
        <v>0</v>
      </c>
      <c r="M1268" s="48">
        <f>VLOOKUP($B1262,[10]Complaints!$A$4:$AG$39,5,)</f>
        <v>1</v>
      </c>
      <c r="N1268" s="48">
        <f>VLOOKUP($B1262,[11]Complaints!$A$4:$AG$39,5,)</f>
        <v>0</v>
      </c>
      <c r="O1268" s="49">
        <f>VLOOKUP($B1262,[12]Complaints!$A$4:$AG$39,5,)</f>
        <v>0</v>
      </c>
      <c r="P1268" s="55">
        <f t="shared" ref="P1268" si="330">SUM(D1268:O1268)</f>
        <v>6</v>
      </c>
      <c r="Q1268" s="50"/>
      <c r="R1268" s="18"/>
    </row>
    <row r="1269" spans="2:18" ht="15.75" customHeight="1" x14ac:dyDescent="0.2">
      <c r="B1269" s="26"/>
      <c r="C1269" s="28" t="s">
        <v>99</v>
      </c>
      <c r="D1269" s="51">
        <f>IF(D1263=0,"",D1268/D1263)</f>
        <v>0</v>
      </c>
      <c r="E1269" s="52">
        <f t="shared" ref="E1269:O1269" si="331">IF(E1263=0,"",E1268/E1263)</f>
        <v>3.9840637450199202E-3</v>
      </c>
      <c r="F1269" s="52">
        <f t="shared" si="331"/>
        <v>2.8985507246376812E-3</v>
      </c>
      <c r="G1269" s="52">
        <f t="shared" si="331"/>
        <v>2.2371364653243847E-3</v>
      </c>
      <c r="H1269" s="52">
        <f t="shared" si="331"/>
        <v>3.6764705882352941E-3</v>
      </c>
      <c r="I1269" s="52">
        <f t="shared" si="331"/>
        <v>0</v>
      </c>
      <c r="J1269" s="52">
        <f t="shared" si="331"/>
        <v>0</v>
      </c>
      <c r="K1269" s="52">
        <f t="shared" si="331"/>
        <v>0</v>
      </c>
      <c r="L1269" s="52">
        <f t="shared" si="331"/>
        <v>0</v>
      </c>
      <c r="M1269" s="52">
        <f t="shared" si="331"/>
        <v>2.2935779816513763E-3</v>
      </c>
      <c r="N1269" s="52" t="str">
        <f t="shared" si="331"/>
        <v/>
      </c>
      <c r="O1269" s="53" t="str">
        <f t="shared" si="331"/>
        <v/>
      </c>
      <c r="P1269" s="54">
        <f>IF(P1268="","",P1268/P1263)</f>
        <v>1.2972972972972972E-3</v>
      </c>
      <c r="Q1269" s="50"/>
      <c r="R1269" s="18"/>
    </row>
    <row r="1270" spans="2:18" ht="15.75" customHeight="1" x14ac:dyDescent="0.2">
      <c r="B1270" s="157" t="s">
        <v>97</v>
      </c>
      <c r="C1270" s="156"/>
      <c r="D1270" s="47">
        <f>VLOOKUP($B1262,[1]Complaints!$A$4:$AF$39,6,)</f>
        <v>0</v>
      </c>
      <c r="E1270" s="48">
        <f>VLOOKUP($B1262,[2]Complaints!$A$4:$AF$39,6,)</f>
        <v>1</v>
      </c>
      <c r="F1270" s="48">
        <f>VLOOKUP($B1262,[3]Complaints!$A$4:$AG$39,6,)</f>
        <v>0</v>
      </c>
      <c r="G1270" s="48">
        <f>VLOOKUP($B1262,[4]Complaints!$A$4:$AG$39,6,)</f>
        <v>0</v>
      </c>
      <c r="H1270" s="48">
        <f>VLOOKUP($B1262,[5]Complaints!$A$4:$AG$39,6,)</f>
        <v>1</v>
      </c>
      <c r="I1270" s="48">
        <f>VLOOKUP($B1262,[6]Complaints!$A$4:$AG$39,6,)</f>
        <v>0</v>
      </c>
      <c r="J1270" s="48">
        <f>VLOOKUP($B1262,[7]Complaints!$A$4:$AG$39,6,)</f>
        <v>0</v>
      </c>
      <c r="K1270" s="48">
        <f>VLOOKUP($B1262,[8]Complaints!$A$4:$AG$39,6,)</f>
        <v>0</v>
      </c>
      <c r="L1270" s="48">
        <f>VLOOKUP($B1262,[9]Complaints!$A$4:$AG$39,6,)</f>
        <v>0</v>
      </c>
      <c r="M1270" s="48">
        <f>VLOOKUP($B1262,[10]Complaints!$A$4:$AG$39,6,)</f>
        <v>1</v>
      </c>
      <c r="N1270" s="48">
        <f>VLOOKUP($B1262,[11]Complaints!$A$4:$AG$39,6,)</f>
        <v>0</v>
      </c>
      <c r="O1270" s="49">
        <f>VLOOKUP($B1262,[12]Complaints!$A$4:$AG$39,6,)</f>
        <v>0</v>
      </c>
      <c r="P1270" s="55">
        <f t="shared" ref="P1270" si="332">SUM(D1270:O1270)</f>
        <v>3</v>
      </c>
      <c r="Q1270" s="50"/>
      <c r="R1270" s="18"/>
    </row>
    <row r="1271" spans="2:18" ht="15.75" customHeight="1" thickBot="1" x14ac:dyDescent="0.25">
      <c r="B1271" s="27"/>
      <c r="C1271" s="29" t="s">
        <v>100</v>
      </c>
      <c r="D1271" s="56" t="str">
        <f>IF(D1270=0,"",D1270/D1268)</f>
        <v/>
      </c>
      <c r="E1271" s="57">
        <f t="shared" ref="E1271:H1271" si="333">IF(E1270=0,"",E1270/E1268)</f>
        <v>1</v>
      </c>
      <c r="F1271" s="57" t="str">
        <f t="shared" si="333"/>
        <v/>
      </c>
      <c r="G1271" s="57" t="str">
        <f t="shared" si="333"/>
        <v/>
      </c>
      <c r="H1271" s="57">
        <f t="shared" si="333"/>
        <v>0.5</v>
      </c>
      <c r="I1271" s="57" t="str">
        <f>IF(I1270=0,"",I1270/I1268)</f>
        <v/>
      </c>
      <c r="J1271" s="57" t="str">
        <f t="shared" ref="J1271:O1271" si="334">IF(J1270=0,"",J1270/J1268)</f>
        <v/>
      </c>
      <c r="K1271" s="57" t="str">
        <f t="shared" si="334"/>
        <v/>
      </c>
      <c r="L1271" s="57" t="str">
        <f t="shared" si="334"/>
        <v/>
      </c>
      <c r="M1271" s="57">
        <f t="shared" si="334"/>
        <v>1</v>
      </c>
      <c r="N1271" s="57" t="str">
        <f t="shared" si="334"/>
        <v/>
      </c>
      <c r="O1271" s="58" t="str">
        <f t="shared" si="334"/>
        <v/>
      </c>
      <c r="P1271" s="59">
        <f>IF(P1270=0,"",P1270/P1268)</f>
        <v>0.5</v>
      </c>
      <c r="Q1271" s="60"/>
      <c r="R1271" s="18"/>
    </row>
    <row r="1272" spans="2:18" ht="15.75" customHeight="1" x14ac:dyDescent="0.2">
      <c r="B1272" s="168" t="s">
        <v>103</v>
      </c>
      <c r="C1272" s="30" t="s">
        <v>77</v>
      </c>
      <c r="D1272" s="61">
        <f>VLOOKUP($B1262,[1]Complaints!$A$4:$AJ$39,7,)</f>
        <v>0</v>
      </c>
      <c r="E1272" s="43">
        <f>VLOOKUP($B1262,[2]Complaints!$A$4:$AJ$39,7,)</f>
        <v>0</v>
      </c>
      <c r="F1272" s="43">
        <f>VLOOKUP($B1262,[3]Complaints!$A$4:$AJ$39,7,)</f>
        <v>0</v>
      </c>
      <c r="G1272" s="43">
        <f>VLOOKUP($B1262,[4]Complaints!$A$4:$AJ$39,7,)</f>
        <v>0</v>
      </c>
      <c r="H1272" s="43">
        <f>VLOOKUP($B1262,[5]Complaints!$A$4:$AJ$39,7,)</f>
        <v>0</v>
      </c>
      <c r="I1272" s="43">
        <f>VLOOKUP($B1262,[6]Complaints!$A$4:$AJ$39,7,)</f>
        <v>0</v>
      </c>
      <c r="J1272" s="43">
        <f>VLOOKUP($B1262,[7]Complaints!$A$4:$AJ$39,7,)</f>
        <v>0</v>
      </c>
      <c r="K1272" s="43">
        <f>VLOOKUP($B1262,[8]Complaints!$A$4:$AJ$39,7,)</f>
        <v>0</v>
      </c>
      <c r="L1272" s="43">
        <f>VLOOKUP($B1262,[9]Complaints!$A$4:$AJ$39,7,)</f>
        <v>0</v>
      </c>
      <c r="M1272" s="43">
        <f>VLOOKUP($B1262,[10]Complaints!$A$4:$AJ$39,7,)</f>
        <v>0</v>
      </c>
      <c r="N1272" s="43">
        <f>VLOOKUP($B1262,[11]Complaints!$A$4:$AJ$39,7,)</f>
        <v>0</v>
      </c>
      <c r="O1272" s="44">
        <f>VLOOKUP($B1262,[12]Complaints!$A$4:$AJ$39,7,)</f>
        <v>0</v>
      </c>
      <c r="P1272" s="45">
        <f>SUM(D1272:O1272)</f>
        <v>0</v>
      </c>
      <c r="Q1272" s="46" t="str">
        <f>IF(P1272=0,"",P1272/$P1264)</f>
        <v/>
      </c>
      <c r="R1272" s="18"/>
    </row>
    <row r="1273" spans="2:18" ht="15.75" customHeight="1" x14ac:dyDescent="0.2">
      <c r="B1273" s="169"/>
      <c r="C1273" s="31" t="s">
        <v>89</v>
      </c>
      <c r="D1273" s="47">
        <f>VLOOKUP($B1262,[1]Complaints!$A$4:$AJ$39,8,)</f>
        <v>0</v>
      </c>
      <c r="E1273" s="48">
        <f>VLOOKUP($B1262,[2]Complaints!$A$4:$AJ$39,8,)</f>
        <v>1</v>
      </c>
      <c r="F1273" s="48">
        <f>VLOOKUP($B1262,[3]Complaints!$A$4:$AJ$39,8,)</f>
        <v>0</v>
      </c>
      <c r="G1273" s="48">
        <f>VLOOKUP($B1262,[4]Complaints!$A$4:$AJ$39,8,)</f>
        <v>1</v>
      </c>
      <c r="H1273" s="48">
        <f>VLOOKUP($B1262,[5]Complaints!$A$4:$AJ$39,8,)</f>
        <v>1</v>
      </c>
      <c r="I1273" s="48">
        <f>VLOOKUP($B1262,[6]Complaints!$A$4:$AJ$39,8,)</f>
        <v>0</v>
      </c>
      <c r="J1273" s="48">
        <f>VLOOKUP($B1262,[7]Complaints!$A$4:$AJ$39,8,)</f>
        <v>0</v>
      </c>
      <c r="K1273" s="48">
        <f>VLOOKUP($B1262,[8]Complaints!$A$4:$AJ$39,8,)</f>
        <v>0</v>
      </c>
      <c r="L1273" s="48">
        <f>VLOOKUP($B1262,[9]Complaints!$A$4:$AJ$39,8,)</f>
        <v>0</v>
      </c>
      <c r="M1273" s="48">
        <f>VLOOKUP($B1262,[10]Complaints!$A$4:$AJ$39,8,)</f>
        <v>1</v>
      </c>
      <c r="N1273" s="48">
        <f>VLOOKUP($B1262,[11]Complaints!$A$4:$AJ$39,8,)</f>
        <v>0</v>
      </c>
      <c r="O1273" s="49">
        <f>VLOOKUP($B1262,[12]Complaints!$A$4:$AJ$39,8,)</f>
        <v>0</v>
      </c>
      <c r="P1273" s="55">
        <f t="shared" ref="P1273:P1274" si="335">SUM(D1273:O1273)</f>
        <v>4</v>
      </c>
      <c r="Q1273" s="50">
        <f>IF(P1273="","",P1273/$P1264)</f>
        <v>0.66666666666666663</v>
      </c>
      <c r="R1273" s="18"/>
    </row>
    <row r="1274" spans="2:18" ht="15.75" customHeight="1" x14ac:dyDescent="0.2">
      <c r="B1274" s="169"/>
      <c r="C1274" s="31" t="s">
        <v>88</v>
      </c>
      <c r="D1274" s="47">
        <f>VLOOKUP($B1262,[1]Complaints!$A$4:$AJ$39,9,)</f>
        <v>0</v>
      </c>
      <c r="E1274" s="48">
        <f>VLOOKUP($B1262,[2]Complaints!$A$4:$AJ$39,9,)</f>
        <v>0</v>
      </c>
      <c r="F1274" s="48">
        <f>VLOOKUP($B1262,[3]Complaints!$A$4:$AJ$39,9,)</f>
        <v>0</v>
      </c>
      <c r="G1274" s="48">
        <f>VLOOKUP($B1262,[4]Complaints!$A$4:$AJ$39,9,)</f>
        <v>0</v>
      </c>
      <c r="H1274" s="48">
        <f>VLOOKUP($B1262,[5]Complaints!$A$4:$AJ$39,9,)</f>
        <v>0</v>
      </c>
      <c r="I1274" s="48">
        <f>VLOOKUP($B1262,[6]Complaints!$A$4:$AJ$39,9,)</f>
        <v>0</v>
      </c>
      <c r="J1274" s="48">
        <f>VLOOKUP($B1262,[7]Complaints!$A$4:$AJ$39,9,)</f>
        <v>0</v>
      </c>
      <c r="K1274" s="48">
        <f>VLOOKUP($B1262,[8]Complaints!$A$4:$AJ$39,9,)</f>
        <v>0</v>
      </c>
      <c r="L1274" s="48">
        <f>VLOOKUP($B1262,[9]Complaints!$A$4:$AJ$39,9,)</f>
        <v>0</v>
      </c>
      <c r="M1274" s="48">
        <f>VLOOKUP($B1262,[10]Complaints!$A$4:$AJ$39,9,)</f>
        <v>0</v>
      </c>
      <c r="N1274" s="48">
        <f>VLOOKUP($B1262,[11]Complaints!$A$4:$AJ$39,9,)</f>
        <v>0</v>
      </c>
      <c r="O1274" s="49">
        <f>VLOOKUP($B1262,[12]Complaints!$A$4:$AJ$39,9,)</f>
        <v>0</v>
      </c>
      <c r="P1274" s="55">
        <f t="shared" si="335"/>
        <v>0</v>
      </c>
      <c r="Q1274" s="50" t="str">
        <f>IF(P1274=0,"",P1274/$P1264)</f>
        <v/>
      </c>
      <c r="R1274" s="18"/>
    </row>
    <row r="1275" spans="2:18" ht="15.75" customHeight="1" x14ac:dyDescent="0.2">
      <c r="B1275" s="169"/>
      <c r="C1275" s="31" t="s">
        <v>13</v>
      </c>
      <c r="D1275" s="47">
        <f>VLOOKUP($B1262,[1]Complaints!$A$4:$AJ$39,10,)</f>
        <v>0</v>
      </c>
      <c r="E1275" s="48">
        <f>VLOOKUP($B1262,[2]Complaints!$A$4:$AJ$39,10,)</f>
        <v>0</v>
      </c>
      <c r="F1275" s="48">
        <f>VLOOKUP($B1262,[3]Complaints!$A$4:$AJ$39,10,)</f>
        <v>0</v>
      </c>
      <c r="G1275" s="48">
        <f>VLOOKUP($B1262,[4]Complaints!$A$4:$AJ$39,10,)</f>
        <v>1</v>
      </c>
      <c r="H1275" s="48">
        <f>VLOOKUP($B1262,[5]Complaints!$A$4:$AJ$39,10,)</f>
        <v>0</v>
      </c>
      <c r="I1275" s="48">
        <f>VLOOKUP($B1262,[6]Complaints!$A$4:$AJ$39,10,)</f>
        <v>0</v>
      </c>
      <c r="J1275" s="48">
        <f>VLOOKUP($B1262,[7]Complaints!$A$4:$AJ$39,10,)</f>
        <v>0</v>
      </c>
      <c r="K1275" s="48">
        <f>VLOOKUP($B1262,[8]Complaints!$A$4:$AJ$39,10,)</f>
        <v>0</v>
      </c>
      <c r="L1275" s="48">
        <f>VLOOKUP($B1262,[9]Complaints!$A$4:$AJ$39,10,)</f>
        <v>0</v>
      </c>
      <c r="M1275" s="48">
        <f>VLOOKUP($B1262,[10]Complaints!$A$4:$AJ$39,10,)</f>
        <v>0</v>
      </c>
      <c r="N1275" s="48">
        <f>VLOOKUP($B1262,[11]Complaints!$A$4:$AJ$39,10,)</f>
        <v>0</v>
      </c>
      <c r="O1275" s="49">
        <f>VLOOKUP($B1262,[12]Complaints!$A$4:$AJ$39,10,)</f>
        <v>0</v>
      </c>
      <c r="P1275" s="55">
        <f>SUM(D1275:O1275)</f>
        <v>1</v>
      </c>
      <c r="Q1275" s="50">
        <f>IF(P1275=0,"",P1275/$P1264)</f>
        <v>0.16666666666666666</v>
      </c>
      <c r="R1275" s="18"/>
    </row>
    <row r="1276" spans="2:18" ht="15.75" customHeight="1" x14ac:dyDescent="0.2">
      <c r="B1276" s="169"/>
      <c r="C1276" s="31" t="s">
        <v>101</v>
      </c>
      <c r="D1276" s="47">
        <f>VLOOKUP($B1262,[1]Complaints!$A$4:$AJ$39,11,)</f>
        <v>0</v>
      </c>
      <c r="E1276" s="48">
        <f>VLOOKUP($B1262,[2]Complaints!$A$4:$AJ$39,11,)</f>
        <v>0</v>
      </c>
      <c r="F1276" s="48">
        <f>VLOOKUP($B1262,[3]Complaints!$A$4:$AJ$39,11,)</f>
        <v>0</v>
      </c>
      <c r="G1276" s="48">
        <f>VLOOKUP($B1262,[4]Complaints!$A$4:$AJ$39,11,)</f>
        <v>0</v>
      </c>
      <c r="H1276" s="48">
        <f>VLOOKUP($B1262,[5]Complaints!$A$4:$AJ$39,11,)</f>
        <v>1</v>
      </c>
      <c r="I1276" s="48">
        <f>VLOOKUP($B1262,[6]Complaints!$A$4:$AJ$39,11,)</f>
        <v>0</v>
      </c>
      <c r="J1276" s="48">
        <f>VLOOKUP($B1262,[7]Complaints!$A$4:$AJ$39,11,)</f>
        <v>0</v>
      </c>
      <c r="K1276" s="48">
        <f>VLOOKUP($B1262,[8]Complaints!$A$4:$AJ$39,11,)</f>
        <v>0</v>
      </c>
      <c r="L1276" s="48">
        <f>VLOOKUP($B1262,[9]Complaints!$A$4:$AJ$39,11,)</f>
        <v>0</v>
      </c>
      <c r="M1276" s="48">
        <f>VLOOKUP($B1262,[10]Complaints!$A$4:$AJ$39,11,)</f>
        <v>0</v>
      </c>
      <c r="N1276" s="48">
        <f>VLOOKUP($B1262,[11]Complaints!$A$4:$AJ$39,11,)</f>
        <v>0</v>
      </c>
      <c r="O1276" s="49">
        <f>VLOOKUP($B1262,[12]Complaints!$A$4:$AJ$39,11,)</f>
        <v>0</v>
      </c>
      <c r="P1276" s="55">
        <f t="shared" ref="P1276:P1285" si="336">SUM(D1276:O1276)</f>
        <v>1</v>
      </c>
      <c r="Q1276" s="50">
        <f>IF(P1276=0,"",P1276/$P1264)</f>
        <v>0.16666666666666666</v>
      </c>
      <c r="R1276" s="18"/>
    </row>
    <row r="1277" spans="2:18" s="19" customFormat="1" ht="15.75" customHeight="1" x14ac:dyDescent="0.2">
      <c r="B1277" s="169"/>
      <c r="C1277" s="31" t="s">
        <v>93</v>
      </c>
      <c r="D1277" s="47">
        <f>VLOOKUP($B1262,[1]Complaints!$A$4:$AJ$39,12,)</f>
        <v>0</v>
      </c>
      <c r="E1277" s="48">
        <f>VLOOKUP($B1262,[2]Complaints!$A$4:$AJ$39,12,)</f>
        <v>0</v>
      </c>
      <c r="F1277" s="48">
        <f>VLOOKUP($B1262,[3]Complaints!$A$4:$AJ$39,12,)</f>
        <v>0</v>
      </c>
      <c r="G1277" s="48">
        <f>VLOOKUP($B1262,[4]Complaints!$A$4:$AJ$39,12,)</f>
        <v>0</v>
      </c>
      <c r="H1277" s="48">
        <f>VLOOKUP($B1262,[5]Complaints!$A$4:$AJ$39,12,)</f>
        <v>0</v>
      </c>
      <c r="I1277" s="48">
        <f>VLOOKUP($B1262,[6]Complaints!$A$4:$AJ$39,12,)</f>
        <v>0</v>
      </c>
      <c r="J1277" s="48">
        <f>VLOOKUP($B1262,[7]Complaints!$A$4:$AJ$39,12,)</f>
        <v>0</v>
      </c>
      <c r="K1277" s="48">
        <f>VLOOKUP($B1262,[8]Complaints!$A$4:$AJ$39,12,)</f>
        <v>0</v>
      </c>
      <c r="L1277" s="48">
        <f>VLOOKUP($B1262,[9]Complaints!$A$4:$AJ$39,12,)</f>
        <v>0</v>
      </c>
      <c r="M1277" s="48">
        <f>VLOOKUP($B1262,[10]Complaints!$A$4:$AJ$39,12,)</f>
        <v>0</v>
      </c>
      <c r="N1277" s="48">
        <f>VLOOKUP($B1262,[11]Complaints!$A$4:$AJ$39,12,)</f>
        <v>0</v>
      </c>
      <c r="O1277" s="49">
        <f>VLOOKUP($B1262,[12]Complaints!$A$4:$AJ$39,12,)</f>
        <v>0</v>
      </c>
      <c r="P1277" s="55">
        <f t="shared" si="336"/>
        <v>0</v>
      </c>
      <c r="Q1277" s="50" t="str">
        <f>IF(P1277=0,"",P1277/$P1264)</f>
        <v/>
      </c>
    </row>
    <row r="1278" spans="2:18" ht="15.75" customHeight="1" x14ac:dyDescent="0.2">
      <c r="B1278" s="169"/>
      <c r="C1278" s="31" t="s">
        <v>78</v>
      </c>
      <c r="D1278" s="47">
        <f>VLOOKUP($B1262,[1]Complaints!$A$4:$AJ$39,13,)</f>
        <v>0</v>
      </c>
      <c r="E1278" s="48">
        <f>VLOOKUP($B1262,[2]Complaints!$A$4:$AJ$39,13,)</f>
        <v>0</v>
      </c>
      <c r="F1278" s="48">
        <f>VLOOKUP($B1262,[3]Complaints!$A$4:$AJ$39,13,)</f>
        <v>0</v>
      </c>
      <c r="G1278" s="48">
        <f>VLOOKUP($B1262,[4]Complaints!$A$4:$AJ$39,13,)</f>
        <v>0</v>
      </c>
      <c r="H1278" s="48">
        <f>VLOOKUP($B1262,[5]Complaints!$A$4:$AJ$39,13,)</f>
        <v>0</v>
      </c>
      <c r="I1278" s="48">
        <f>VLOOKUP($B1262,[6]Complaints!$A$4:$AJ$39,13,)</f>
        <v>0</v>
      </c>
      <c r="J1278" s="48">
        <f>VLOOKUP($B1262,[7]Complaints!$A$4:$AJ$39,13,)</f>
        <v>0</v>
      </c>
      <c r="K1278" s="48">
        <f>VLOOKUP($B1262,[8]Complaints!$A$4:$AJ$39,13,)</f>
        <v>0</v>
      </c>
      <c r="L1278" s="48">
        <f>VLOOKUP($B1262,[9]Complaints!$A$4:$AJ$39,13,)</f>
        <v>0</v>
      </c>
      <c r="M1278" s="48">
        <f>VLOOKUP($B1262,[10]Complaints!$A$4:$AJ$39,13,)</f>
        <v>0</v>
      </c>
      <c r="N1278" s="48">
        <f>VLOOKUP($B1262,[11]Complaints!$A$4:$AJ$39,13,)</f>
        <v>0</v>
      </c>
      <c r="O1278" s="49">
        <f>VLOOKUP($B1262,[12]Complaints!$A$4:$AJ$39,13,)</f>
        <v>0</v>
      </c>
      <c r="P1278" s="55">
        <f t="shared" si="336"/>
        <v>0</v>
      </c>
      <c r="Q1278" s="50" t="str">
        <f>IF(P1278=0,"",P1278/$P1264)</f>
        <v/>
      </c>
      <c r="R1278" s="18"/>
    </row>
    <row r="1279" spans="2:18" ht="15.75" customHeight="1" x14ac:dyDescent="0.2">
      <c r="B1279" s="169"/>
      <c r="C1279" s="31" t="s">
        <v>92</v>
      </c>
      <c r="D1279" s="47">
        <f>VLOOKUP($B1262,[1]Complaints!$A$4:$AJ$39,14,)</f>
        <v>0</v>
      </c>
      <c r="E1279" s="48">
        <f>VLOOKUP($B1262,[2]Complaints!$A$4:$AJ$39,14,)</f>
        <v>0</v>
      </c>
      <c r="F1279" s="48">
        <f>VLOOKUP($B1262,[3]Complaints!$A$4:$AJ$39,14,)</f>
        <v>0</v>
      </c>
      <c r="G1279" s="48">
        <f>VLOOKUP($B1262,[4]Complaints!$A$4:$AJ$39,14,)</f>
        <v>0</v>
      </c>
      <c r="H1279" s="48">
        <f>VLOOKUP($B1262,[5]Complaints!$A$4:$AJ$39,14,)</f>
        <v>0</v>
      </c>
      <c r="I1279" s="48">
        <f>VLOOKUP($B1262,[6]Complaints!$A$4:$AJ$39,14,)</f>
        <v>0</v>
      </c>
      <c r="J1279" s="48">
        <f>VLOOKUP($B1262,[7]Complaints!$A$4:$AJ$39,14,)</f>
        <v>0</v>
      </c>
      <c r="K1279" s="48">
        <f>VLOOKUP($B1262,[8]Complaints!$A$4:$AJ$39,14,)</f>
        <v>0</v>
      </c>
      <c r="L1279" s="48">
        <f>VLOOKUP($B1262,[9]Complaints!$A$4:$AJ$39,14,)</f>
        <v>0</v>
      </c>
      <c r="M1279" s="48">
        <f>VLOOKUP($B1262,[10]Complaints!$A$4:$AJ$39,14,)</f>
        <v>0</v>
      </c>
      <c r="N1279" s="48">
        <f>VLOOKUP($B1262,[11]Complaints!$A$4:$AJ$39,14,)</f>
        <v>0</v>
      </c>
      <c r="O1279" s="49">
        <f>VLOOKUP($B1262,[12]Complaints!$A$4:$AJ$39,14,)</f>
        <v>0</v>
      </c>
      <c r="P1279" s="55">
        <f t="shared" si="336"/>
        <v>0</v>
      </c>
      <c r="Q1279" s="50" t="str">
        <f>IF(P1279=0,"",P1279/$P1264)</f>
        <v/>
      </c>
      <c r="R1279" s="18"/>
    </row>
    <row r="1280" spans="2:18" ht="15.75" customHeight="1" x14ac:dyDescent="0.2">
      <c r="B1280" s="169"/>
      <c r="C1280" s="31" t="s">
        <v>91</v>
      </c>
      <c r="D1280" s="47">
        <f>VLOOKUP($B1262,[1]Complaints!$A$4:$AJ$39,15,)</f>
        <v>0</v>
      </c>
      <c r="E1280" s="48">
        <f>VLOOKUP($B1262,[2]Complaints!$A$4:$AJ$39,15,)</f>
        <v>0</v>
      </c>
      <c r="F1280" s="48">
        <f>VLOOKUP($B1262,[3]Complaints!$A$4:$AJ$39,15,)</f>
        <v>0</v>
      </c>
      <c r="G1280" s="48">
        <f>VLOOKUP($B1262,[4]Complaints!$A$4:$AJ$39,15,)</f>
        <v>0</v>
      </c>
      <c r="H1280" s="48">
        <f>VLOOKUP($B1262,[5]Complaints!$A$4:$AJ$39,15,)</f>
        <v>0</v>
      </c>
      <c r="I1280" s="48">
        <f>VLOOKUP($B1262,[6]Complaints!$A$4:$AJ$39,15,)</f>
        <v>0</v>
      </c>
      <c r="J1280" s="48">
        <f>VLOOKUP($B1262,[7]Complaints!$A$4:$AJ$39,15,)</f>
        <v>0</v>
      </c>
      <c r="K1280" s="48">
        <f>VLOOKUP($B1262,[8]Complaints!$A$4:$AJ$39,15,)</f>
        <v>0</v>
      </c>
      <c r="L1280" s="48">
        <f>VLOOKUP($B1262,[9]Complaints!$A$4:$AJ$39,15,)</f>
        <v>0</v>
      </c>
      <c r="M1280" s="48">
        <f>VLOOKUP($B1262,[10]Complaints!$A$4:$AJ$39,15,)</f>
        <v>0</v>
      </c>
      <c r="N1280" s="48">
        <f>VLOOKUP($B1262,[11]Complaints!$A$4:$AJ$39,15,)</f>
        <v>0</v>
      </c>
      <c r="O1280" s="49">
        <f>VLOOKUP($B1262,[12]Complaints!$A$4:$AJ$39,15,)</f>
        <v>0</v>
      </c>
      <c r="P1280" s="55">
        <f t="shared" si="336"/>
        <v>0</v>
      </c>
      <c r="Q1280" s="50" t="str">
        <f>IF(P1280=0,"",P1280/$P1264)</f>
        <v/>
      </c>
      <c r="R1280" s="18"/>
    </row>
    <row r="1281" spans="1:19" ht="15.75" customHeight="1" x14ac:dyDescent="0.2">
      <c r="B1281" s="169"/>
      <c r="C1281" s="31" t="s">
        <v>79</v>
      </c>
      <c r="D1281" s="47">
        <f>VLOOKUP($B1262,[1]Complaints!$A$4:$AJ$39,16,)</f>
        <v>0</v>
      </c>
      <c r="E1281" s="48">
        <f>VLOOKUP($B1262,[2]Complaints!$A$4:$AJ$39,16,)</f>
        <v>0</v>
      </c>
      <c r="F1281" s="48">
        <f>VLOOKUP($B1262,[3]Complaints!$A$4:$AJ$39,16,)</f>
        <v>0</v>
      </c>
      <c r="G1281" s="48">
        <f>VLOOKUP($B1262,[4]Complaints!$A$4:$AJ$39,16,)</f>
        <v>0</v>
      </c>
      <c r="H1281" s="48">
        <f>VLOOKUP($B1262,[5]Complaints!$A$4:$AJ$39,16,)</f>
        <v>0</v>
      </c>
      <c r="I1281" s="48">
        <f>VLOOKUP($B1262,[6]Complaints!$A$4:$AJ$39,16,)</f>
        <v>0</v>
      </c>
      <c r="J1281" s="48">
        <f>VLOOKUP($B1262,[7]Complaints!$A$4:$AJ$39,16,)</f>
        <v>0</v>
      </c>
      <c r="K1281" s="48">
        <f>VLOOKUP($B1262,[8]Complaints!$A$4:$AJ$39,16,)</f>
        <v>0</v>
      </c>
      <c r="L1281" s="48">
        <f>VLOOKUP($B1262,[9]Complaints!$A$4:$AJ$39,16,)</f>
        <v>0</v>
      </c>
      <c r="M1281" s="48">
        <f>VLOOKUP($B1262,[10]Complaints!$A$4:$AJ$39,16,)</f>
        <v>0</v>
      </c>
      <c r="N1281" s="48">
        <f>VLOOKUP($B1262,[11]Complaints!$A$4:$AJ$39,16,)</f>
        <v>0</v>
      </c>
      <c r="O1281" s="49">
        <f>VLOOKUP($B1262,[12]Complaints!$A$4:$AJ$39,16,)</f>
        <v>0</v>
      </c>
      <c r="P1281" s="55">
        <f t="shared" si="336"/>
        <v>0</v>
      </c>
      <c r="Q1281" s="50" t="str">
        <f>IF(P1281=0,"",P1281/$P1264)</f>
        <v/>
      </c>
      <c r="R1281" s="18"/>
    </row>
    <row r="1282" spans="1:19" ht="15.75" customHeight="1" x14ac:dyDescent="0.2">
      <c r="B1282" s="169"/>
      <c r="C1282" s="31" t="s">
        <v>80</v>
      </c>
      <c r="D1282" s="47">
        <f>VLOOKUP($B1262,[1]Complaints!$A$4:$AJ$39,17,)</f>
        <v>0</v>
      </c>
      <c r="E1282" s="48">
        <f>VLOOKUP($B1262,[2]Complaints!$A$4:$AJ$39,17,)</f>
        <v>0</v>
      </c>
      <c r="F1282" s="48">
        <f>VLOOKUP($B1262,[3]Complaints!$A$4:$AJ$39,17,)</f>
        <v>0</v>
      </c>
      <c r="G1282" s="48">
        <f>VLOOKUP($B1262,[4]Complaints!$A$4:$AJ$39,17,)</f>
        <v>0</v>
      </c>
      <c r="H1282" s="48">
        <f>VLOOKUP($B1262,[5]Complaints!$A$4:$AJ$39,17,)</f>
        <v>0</v>
      </c>
      <c r="I1282" s="48">
        <f>VLOOKUP($B1262,[6]Complaints!$A$4:$AJ$39,17,)</f>
        <v>0</v>
      </c>
      <c r="J1282" s="48">
        <f>VLOOKUP($B1262,[7]Complaints!$A$4:$AJ$39,17,)</f>
        <v>0</v>
      </c>
      <c r="K1282" s="48">
        <f>VLOOKUP($B1262,[8]Complaints!$A$4:$AJ$39,17,)</f>
        <v>0</v>
      </c>
      <c r="L1282" s="48">
        <f>VLOOKUP($B1262,[9]Complaints!$A$4:$AJ$39,17,)</f>
        <v>0</v>
      </c>
      <c r="M1282" s="48">
        <f>VLOOKUP($B1262,[10]Complaints!$A$4:$AJ$39,17,)</f>
        <v>0</v>
      </c>
      <c r="N1282" s="48">
        <f>VLOOKUP($B1262,[11]Complaints!$A$4:$AJ$39,17,)</f>
        <v>0</v>
      </c>
      <c r="O1282" s="49">
        <f>VLOOKUP($B1262,[12]Complaints!$A$4:$AJ$39,17,)</f>
        <v>0</v>
      </c>
      <c r="P1282" s="55">
        <f t="shared" si="336"/>
        <v>0</v>
      </c>
      <c r="Q1282" s="50" t="str">
        <f>IF(P1282=0,"",P1282/$P1264)</f>
        <v/>
      </c>
      <c r="R1282" s="18"/>
    </row>
    <row r="1283" spans="1:19" ht="15.75" customHeight="1" x14ac:dyDescent="0.2">
      <c r="B1283" s="169"/>
      <c r="C1283" s="31" t="s">
        <v>81</v>
      </c>
      <c r="D1283" s="47">
        <f>VLOOKUP($B1262,[1]Complaints!$A$4:$AJ$39,18,)</f>
        <v>0</v>
      </c>
      <c r="E1283" s="48">
        <f>VLOOKUP($B1262,[2]Complaints!$A$4:$AJ$39,18,)</f>
        <v>0</v>
      </c>
      <c r="F1283" s="48">
        <f>VLOOKUP($B1262,[3]Complaints!$A$4:$AJ$39,18,)</f>
        <v>0</v>
      </c>
      <c r="G1283" s="48">
        <f>VLOOKUP($B1262,[4]Complaints!$A$4:$AJ$39,18,)</f>
        <v>0</v>
      </c>
      <c r="H1283" s="48">
        <f>VLOOKUP($B1262,[5]Complaints!$A$4:$AJ$39,18,)</f>
        <v>0</v>
      </c>
      <c r="I1283" s="48">
        <f>VLOOKUP($B1262,[6]Complaints!$A$4:$AJ$39,18,)</f>
        <v>0</v>
      </c>
      <c r="J1283" s="48">
        <f>VLOOKUP($B1262,[7]Complaints!$A$4:$AJ$39,18,)</f>
        <v>0</v>
      </c>
      <c r="K1283" s="48">
        <f>VLOOKUP($B1262,[8]Complaints!$A$4:$AJ$39,18,)</f>
        <v>0</v>
      </c>
      <c r="L1283" s="48">
        <f>VLOOKUP($B1262,[9]Complaints!$A$4:$AJ$39,18,)</f>
        <v>0</v>
      </c>
      <c r="M1283" s="48">
        <f>VLOOKUP($B1262,[10]Complaints!$A$4:$AJ$39,18,)</f>
        <v>0</v>
      </c>
      <c r="N1283" s="48">
        <f>VLOOKUP($B1262,[11]Complaints!$A$4:$AJ$39,18,)</f>
        <v>0</v>
      </c>
      <c r="O1283" s="49">
        <f>VLOOKUP($B1262,[12]Complaints!$A$4:$AJ$39,18,)</f>
        <v>0</v>
      </c>
      <c r="P1283" s="55">
        <f t="shared" si="336"/>
        <v>0</v>
      </c>
      <c r="Q1283" s="50" t="str">
        <f>IF(P1283=0,"",P1283/$P1264)</f>
        <v/>
      </c>
      <c r="R1283" s="18"/>
    </row>
    <row r="1284" spans="1:19" ht="15.75" customHeight="1" x14ac:dyDescent="0.2">
      <c r="B1284" s="169"/>
      <c r="C1284" s="31" t="s">
        <v>82</v>
      </c>
      <c r="D1284" s="47">
        <f>VLOOKUP($B1262,[1]Complaints!$A$4:$AJ$39,19,)</f>
        <v>0</v>
      </c>
      <c r="E1284" s="48">
        <f>VLOOKUP($B1262,[2]Complaints!$A$4:$AJ$39,19,)</f>
        <v>0</v>
      </c>
      <c r="F1284" s="48">
        <f>VLOOKUP($B1262,[3]Complaints!$A$4:$AJ$39,19,)</f>
        <v>0</v>
      </c>
      <c r="G1284" s="48">
        <f>VLOOKUP($B1262,[4]Complaints!$A$4:$AJ$39,19,)</f>
        <v>0</v>
      </c>
      <c r="H1284" s="48">
        <f>VLOOKUP($B1262,[5]Complaints!$A$4:$AJ$39,19,)</f>
        <v>0</v>
      </c>
      <c r="I1284" s="48">
        <f>VLOOKUP($B1262,[6]Complaints!$A$4:$AJ$39,19,)</f>
        <v>0</v>
      </c>
      <c r="J1284" s="48">
        <f>VLOOKUP($B1262,[7]Complaints!$A$4:$AJ$39,19,)</f>
        <v>0</v>
      </c>
      <c r="K1284" s="48">
        <f>VLOOKUP($B1262,[8]Complaints!$A$4:$AJ$39,19,)</f>
        <v>0</v>
      </c>
      <c r="L1284" s="48">
        <f>VLOOKUP($B1262,[9]Complaints!$A$4:$AJ$39,19,)</f>
        <v>0</v>
      </c>
      <c r="M1284" s="48">
        <f>VLOOKUP($B1262,[10]Complaints!$A$4:$AJ$39,19,)</f>
        <v>0</v>
      </c>
      <c r="N1284" s="48">
        <f>VLOOKUP($B1262,[11]Complaints!$A$4:$AJ$39,19,)</f>
        <v>0</v>
      </c>
      <c r="O1284" s="49">
        <f>VLOOKUP($B1262,[12]Complaints!$A$4:$AJ$39,19,)</f>
        <v>0</v>
      </c>
      <c r="P1284" s="55">
        <f t="shared" si="336"/>
        <v>0</v>
      </c>
      <c r="Q1284" s="50" t="str">
        <f>IF(P1284=0,"",P1284/$P1264)</f>
        <v/>
      </c>
      <c r="R1284" s="18"/>
    </row>
    <row r="1285" spans="1:19" ht="15.75" customHeight="1" thickBot="1" x14ac:dyDescent="0.25">
      <c r="B1285" s="170"/>
      <c r="C1285" s="31" t="s">
        <v>83</v>
      </c>
      <c r="D1285" s="47">
        <f>VLOOKUP($B1262,[1]Complaints!$A$4:$AJ$39,20,)</f>
        <v>0</v>
      </c>
      <c r="E1285" s="48">
        <f>VLOOKUP($B1262,[2]Complaints!$A$4:$AJ$39,20,)</f>
        <v>0</v>
      </c>
      <c r="F1285" s="48">
        <f>VLOOKUP($B1262,[3]Complaints!$A$4:$AJ$39,20,)</f>
        <v>0</v>
      </c>
      <c r="G1285" s="48">
        <f>VLOOKUP($B1262,[4]Complaints!$A$4:$AJ$39,20,)</f>
        <v>0</v>
      </c>
      <c r="H1285" s="48">
        <f>VLOOKUP($B1262,[5]Complaints!$A$4:$AJ$39,20,)</f>
        <v>0</v>
      </c>
      <c r="I1285" s="48">
        <f>VLOOKUP($B1262,[6]Complaints!$A$4:$AJ$39,20,)</f>
        <v>0</v>
      </c>
      <c r="J1285" s="48">
        <f>VLOOKUP($B1262,[7]Complaints!$A$4:$AJ$39,20,)</f>
        <v>0</v>
      </c>
      <c r="K1285" s="48">
        <f>VLOOKUP($B1262,[8]Complaints!$A$4:$AJ$39,20,)</f>
        <v>0</v>
      </c>
      <c r="L1285" s="48">
        <f>VLOOKUP($B1262,[9]Complaints!$A$4:$AJ$39,20,)</f>
        <v>0</v>
      </c>
      <c r="M1285" s="48">
        <f>VLOOKUP($B1262,[10]Complaints!$A$4:$AJ$39,20,)</f>
        <v>0</v>
      </c>
      <c r="N1285" s="48">
        <f>VLOOKUP($B1262,[11]Complaints!$A$4:$AJ$39,20,)</f>
        <v>0</v>
      </c>
      <c r="O1285" s="49">
        <f>VLOOKUP($B1262,[12]Complaints!$A$4:$AJ$39,20,)</f>
        <v>0</v>
      </c>
      <c r="P1285" s="55">
        <f t="shared" si="336"/>
        <v>0</v>
      </c>
      <c r="Q1285" s="50" t="str">
        <f>IF(P1285=0,"",P1285/$P1264)</f>
        <v/>
      </c>
      <c r="R1285" s="18"/>
    </row>
    <row r="1286" spans="1:19" ht="15.75" customHeight="1" x14ac:dyDescent="0.2">
      <c r="B1286" s="144" t="s">
        <v>90</v>
      </c>
      <c r="C1286" s="37" t="s">
        <v>118</v>
      </c>
      <c r="D1286" s="62">
        <f>VLOOKUP($B1262,[1]Complaints!$A$4:$AJ$39,21,)</f>
        <v>0</v>
      </c>
      <c r="E1286" s="63">
        <f>VLOOKUP($B1262,[2]Complaints!$A$4:$AJ$39,21,)</f>
        <v>1</v>
      </c>
      <c r="F1286" s="63">
        <f>VLOOKUP($B1262,[3]Complaints!$A$4:$AJ$39,21,)</f>
        <v>0</v>
      </c>
      <c r="G1286" s="63">
        <f>VLOOKUP($B1262,[4]Complaints!$A$4:$AJ$39,21,)</f>
        <v>0</v>
      </c>
      <c r="H1286" s="63">
        <f>VLOOKUP($B1262,[5]Complaints!$A$4:$AJ$39,21,)</f>
        <v>1</v>
      </c>
      <c r="I1286" s="63">
        <f>VLOOKUP($B1262,[6]Complaints!$A$4:$AJ$39,21,)</f>
        <v>0</v>
      </c>
      <c r="J1286" s="63">
        <f>VLOOKUP($B1262,[7]Complaints!$A$4:$AJ$39,21,)</f>
        <v>0</v>
      </c>
      <c r="K1286" s="63">
        <f>VLOOKUP($B1262,[8]Complaints!$A$4:$AJ$39,21,)</f>
        <v>0</v>
      </c>
      <c r="L1286" s="63">
        <f>VLOOKUP($B1262,[9]Complaints!$A$4:$AJ$39,21,)</f>
        <v>0</v>
      </c>
      <c r="M1286" s="63">
        <f>VLOOKUP($B1262,[10]Complaints!$A$4:$AJ$39,21,)</f>
        <v>1</v>
      </c>
      <c r="N1286" s="63">
        <f>VLOOKUP($B1262,[11]Complaints!$A$4:$AJ$39,21,)</f>
        <v>0</v>
      </c>
      <c r="O1286" s="64">
        <f>VLOOKUP($B1262,[12]Complaints!$A$4:$AJ$39,21,)</f>
        <v>0</v>
      </c>
      <c r="P1286" s="65">
        <f>SUM(D1286:O1286)</f>
        <v>3</v>
      </c>
      <c r="Q1286" s="46">
        <f>IF(P1286=0,"",P1286/$P1270)</f>
        <v>1</v>
      </c>
      <c r="R1286" s="18"/>
    </row>
    <row r="1287" spans="1:19" ht="15.75" customHeight="1" x14ac:dyDescent="0.2">
      <c r="B1287" s="145"/>
      <c r="C1287" s="38" t="s">
        <v>77</v>
      </c>
      <c r="D1287" s="66">
        <f>VLOOKUP($B1262,[1]Complaints!$A$4:$AJ$39,22,)</f>
        <v>0</v>
      </c>
      <c r="E1287" s="67">
        <f>VLOOKUP($B1262,[2]Complaints!$A$4:$AJ$39,22,)</f>
        <v>0</v>
      </c>
      <c r="F1287" s="67">
        <f>VLOOKUP($B1262,[3]Complaints!$A$4:$AJ$39,22,)</f>
        <v>0</v>
      </c>
      <c r="G1287" s="67">
        <f>VLOOKUP($B1262,[4]Complaints!$A$4:$AJ$39,22,)</f>
        <v>0</v>
      </c>
      <c r="H1287" s="67">
        <f>VLOOKUP($B1262,[5]Complaints!$A$4:$AJ$39,22,)</f>
        <v>0</v>
      </c>
      <c r="I1287" s="67">
        <f>VLOOKUP($B1262,[6]Complaints!$A$4:$AJ$39,22,)</f>
        <v>0</v>
      </c>
      <c r="J1287" s="67">
        <f>VLOOKUP($B1262,[7]Complaints!$A$4:$AJ$39,22,)</f>
        <v>0</v>
      </c>
      <c r="K1287" s="67">
        <f>VLOOKUP($B1262,[8]Complaints!$A$4:$AJ$39,22,)</f>
        <v>0</v>
      </c>
      <c r="L1287" s="67">
        <f>VLOOKUP($B1262,[9]Complaints!$A$4:$AJ$39,22,)</f>
        <v>0</v>
      </c>
      <c r="M1287" s="67">
        <f>VLOOKUP($B1262,[10]Complaints!$A$4:$AJ$39,22,)</f>
        <v>0</v>
      </c>
      <c r="N1287" s="67">
        <f>VLOOKUP($B1262,[11]Complaints!$A$4:$AJ$39,22,)</f>
        <v>0</v>
      </c>
      <c r="O1287" s="68">
        <f>VLOOKUP($B1262,[12]Complaints!$A$4:$AJ$39,22,)</f>
        <v>0</v>
      </c>
      <c r="P1287" s="69">
        <f t="shared" ref="P1287:P1301" si="337">SUM(D1287:O1287)</f>
        <v>0</v>
      </c>
      <c r="Q1287" s="70" t="str">
        <f>IF(P1287=0,"",P1287/$P1270)</f>
        <v/>
      </c>
      <c r="R1287" s="18"/>
    </row>
    <row r="1288" spans="1:19" ht="15.75" customHeight="1" x14ac:dyDescent="0.2">
      <c r="B1288" s="145"/>
      <c r="C1288" s="38" t="s">
        <v>108</v>
      </c>
      <c r="D1288" s="66">
        <f>VLOOKUP($B1262,[1]Complaints!$A$4:$AJ$39,23,)</f>
        <v>0</v>
      </c>
      <c r="E1288" s="67">
        <f>VLOOKUP($B1262,[2]Complaints!$A$4:$AJ$39,23,)</f>
        <v>1</v>
      </c>
      <c r="F1288" s="67">
        <f>VLOOKUP($B1262,[3]Complaints!$A$4:$AJ$39,23,)</f>
        <v>0</v>
      </c>
      <c r="G1288" s="67">
        <f>VLOOKUP($B1262,[4]Complaints!$A$4:$AJ$39,23,)</f>
        <v>0</v>
      </c>
      <c r="H1288" s="67">
        <f>VLOOKUP($B1262,[5]Complaints!$A$4:$AJ$39,23,)</f>
        <v>0</v>
      </c>
      <c r="I1288" s="67">
        <f>VLOOKUP($B1262,[6]Complaints!$A$4:$AJ$39,23,)</f>
        <v>0</v>
      </c>
      <c r="J1288" s="67">
        <f>VLOOKUP($B1262,[7]Complaints!$A$4:$AJ$39,23,)</f>
        <v>0</v>
      </c>
      <c r="K1288" s="67">
        <f>VLOOKUP($B1262,[8]Complaints!$A$4:$AJ$39,23,)</f>
        <v>0</v>
      </c>
      <c r="L1288" s="67">
        <f>VLOOKUP($B1262,[9]Complaints!$A$4:$AJ$39,23,)</f>
        <v>0</v>
      </c>
      <c r="M1288" s="67">
        <f>VLOOKUP($B1262,[10]Complaints!$A$4:$AJ$39,23,)</f>
        <v>1</v>
      </c>
      <c r="N1288" s="67">
        <f>VLOOKUP($B1262,[11]Complaints!$A$4:$AJ$39,23,)</f>
        <v>0</v>
      </c>
      <c r="O1288" s="68">
        <f>VLOOKUP($B1262,[12]Complaints!$A$4:$AJ$39,23,)</f>
        <v>0</v>
      </c>
      <c r="P1288" s="69">
        <f t="shared" si="337"/>
        <v>2</v>
      </c>
      <c r="Q1288" s="70">
        <f>IF(P1288=0,"",P1288/$P1270)</f>
        <v>0.66666666666666663</v>
      </c>
      <c r="R1288" s="18"/>
    </row>
    <row r="1289" spans="1:19" ht="15.75" customHeight="1" x14ac:dyDescent="0.2">
      <c r="B1289" s="145"/>
      <c r="C1289" s="38" t="s">
        <v>88</v>
      </c>
      <c r="D1289" s="66">
        <f>VLOOKUP($B1262,[1]Complaints!$A$4:$AJ$39,24,)</f>
        <v>0</v>
      </c>
      <c r="E1289" s="67">
        <f>VLOOKUP($B1262,[2]Complaints!$A$4:$AJ$39,24,)</f>
        <v>0</v>
      </c>
      <c r="F1289" s="67">
        <f>VLOOKUP($B1262,[3]Complaints!$A$4:$AJ$39,24,)</f>
        <v>0</v>
      </c>
      <c r="G1289" s="67">
        <f>VLOOKUP($B1262,[4]Complaints!$A$4:$AJ$39,24,)</f>
        <v>0</v>
      </c>
      <c r="H1289" s="67">
        <f>VLOOKUP($B1262,[5]Complaints!$A$4:$AJ$39,24,)</f>
        <v>0</v>
      </c>
      <c r="I1289" s="67">
        <f>VLOOKUP($B1262,[6]Complaints!$A$4:$AJ$39,24,)</f>
        <v>0</v>
      </c>
      <c r="J1289" s="67">
        <f>VLOOKUP($B1262,[7]Complaints!$A$4:$AJ$39,24,)</f>
        <v>0</v>
      </c>
      <c r="K1289" s="67">
        <f>VLOOKUP($B1262,[8]Complaints!$A$4:$AJ$39,24,)</f>
        <v>0</v>
      </c>
      <c r="L1289" s="67">
        <f>VLOOKUP($B1262,[9]Complaints!$A$4:$AJ$39,24,)</f>
        <v>0</v>
      </c>
      <c r="M1289" s="67">
        <f>VLOOKUP($B1262,[10]Complaints!$A$4:$AJ$39,24,)</f>
        <v>0</v>
      </c>
      <c r="N1289" s="67">
        <f>VLOOKUP($B1262,[11]Complaints!$A$4:$AJ$39,24,)</f>
        <v>0</v>
      </c>
      <c r="O1289" s="68">
        <f>VLOOKUP($B1262,[12]Complaints!$A$4:$AJ$39,24,)</f>
        <v>0</v>
      </c>
      <c r="P1289" s="69">
        <f t="shared" si="337"/>
        <v>0</v>
      </c>
      <c r="Q1289" s="70" t="str">
        <f>IF(P1289=0,"",P1289/$P1270)</f>
        <v/>
      </c>
      <c r="R1289" s="18"/>
    </row>
    <row r="1290" spans="1:19" ht="15.75" customHeight="1" x14ac:dyDescent="0.2">
      <c r="B1290" s="145"/>
      <c r="C1290" s="38" t="s">
        <v>109</v>
      </c>
      <c r="D1290" s="66">
        <f>VLOOKUP($B1262,[1]Complaints!$A$4:$AJ$39,25,)</f>
        <v>0</v>
      </c>
      <c r="E1290" s="67">
        <f>VLOOKUP($B1262,[2]Complaints!$A$4:$AJ$39,25,)</f>
        <v>0</v>
      </c>
      <c r="F1290" s="67">
        <f>VLOOKUP($B1262,[3]Complaints!$A$4:$AJ$39,25,)</f>
        <v>0</v>
      </c>
      <c r="G1290" s="67">
        <f>VLOOKUP($B1262,[4]Complaints!$A$4:$AJ$39,25,)</f>
        <v>0</v>
      </c>
      <c r="H1290" s="67">
        <f>VLOOKUP($B1262,[5]Complaints!$A$4:$AJ$39,25,)</f>
        <v>0</v>
      </c>
      <c r="I1290" s="67">
        <f>VLOOKUP($B1262,[6]Complaints!$A$4:$AJ$39,25,)</f>
        <v>0</v>
      </c>
      <c r="J1290" s="67">
        <f>VLOOKUP($B1262,[7]Complaints!$A$4:$AJ$39,25,)</f>
        <v>0</v>
      </c>
      <c r="K1290" s="67">
        <f>VLOOKUP($B1262,[8]Complaints!$A$4:$AJ$39,25,)</f>
        <v>0</v>
      </c>
      <c r="L1290" s="67">
        <f>VLOOKUP($B1262,[9]Complaints!$A$4:$AJ$39,25,)</f>
        <v>0</v>
      </c>
      <c r="M1290" s="67">
        <f>VLOOKUP($B1262,[10]Complaints!$A$4:$AJ$39,25,)</f>
        <v>0</v>
      </c>
      <c r="N1290" s="67">
        <f>VLOOKUP($B1262,[11]Complaints!$A$4:$AJ$39,25,)</f>
        <v>0</v>
      </c>
      <c r="O1290" s="68">
        <f>VLOOKUP($B1262,[12]Complaints!$A$4:$AJ$39,25,)</f>
        <v>0</v>
      </c>
      <c r="P1290" s="69">
        <f t="shared" si="337"/>
        <v>0</v>
      </c>
      <c r="Q1290" s="70" t="str">
        <f>IF(P1290=0,"",P1290/$P1270)</f>
        <v/>
      </c>
      <c r="R1290" s="18"/>
    </row>
    <row r="1291" spans="1:19" ht="15.75" customHeight="1" x14ac:dyDescent="0.2">
      <c r="A1291" s="21"/>
      <c r="B1291" s="145"/>
      <c r="C1291" s="38" t="s">
        <v>110</v>
      </c>
      <c r="D1291" s="66">
        <f>VLOOKUP($B1262,[1]Complaints!$A$4:$AJ$39,26,)</f>
        <v>0</v>
      </c>
      <c r="E1291" s="67">
        <f>VLOOKUP($B1262,[2]Complaints!$A$4:$AJ$39,26,)</f>
        <v>0</v>
      </c>
      <c r="F1291" s="67">
        <f>VLOOKUP($B1262,[3]Complaints!$A$4:$AJ$39,26,)</f>
        <v>0</v>
      </c>
      <c r="G1291" s="67">
        <f>VLOOKUP($B1262,[4]Complaints!$A$4:$AJ$39,26,)</f>
        <v>0</v>
      </c>
      <c r="H1291" s="67">
        <f>VLOOKUP($B1262,[5]Complaints!$A$4:$AJ$39,26,)</f>
        <v>0</v>
      </c>
      <c r="I1291" s="67">
        <f>VLOOKUP($B1262,[6]Complaints!$A$4:$AJ$39,26,)</f>
        <v>0</v>
      </c>
      <c r="J1291" s="67">
        <f>VLOOKUP($B1262,[7]Complaints!$A$4:$AJ$39,26,)</f>
        <v>0</v>
      </c>
      <c r="K1291" s="67">
        <f>VLOOKUP($B1262,[8]Complaints!$A$4:$AJ$39,26,)</f>
        <v>0</v>
      </c>
      <c r="L1291" s="67">
        <f>VLOOKUP($B1262,[9]Complaints!$A$4:$AJ$39,26,)</f>
        <v>0</v>
      </c>
      <c r="M1291" s="67">
        <f>VLOOKUP($B1262,[10]Complaints!$A$4:$AJ$39,26,)</f>
        <v>0</v>
      </c>
      <c r="N1291" s="67">
        <f>VLOOKUP($B1262,[11]Complaints!$A$4:$AJ$39,26,)</f>
        <v>0</v>
      </c>
      <c r="O1291" s="68">
        <f>VLOOKUP($B1262,[12]Complaints!$A$4:$AJ$39,26,)</f>
        <v>0</v>
      </c>
      <c r="P1291" s="69">
        <f t="shared" si="337"/>
        <v>0</v>
      </c>
      <c r="Q1291" s="70" t="str">
        <f>IF(P1291=0,"",P1291/$P1270)</f>
        <v/>
      </c>
      <c r="R1291" s="18"/>
    </row>
    <row r="1292" spans="1:19" s="21" customFormat="1" ht="15.75" customHeight="1" x14ac:dyDescent="0.2">
      <c r="B1292" s="145"/>
      <c r="C1292" s="39" t="s">
        <v>107</v>
      </c>
      <c r="D1292" s="71">
        <f>VLOOKUP($B1262,[1]Complaints!$A$4:$AJ$39,27,)</f>
        <v>0</v>
      </c>
      <c r="E1292" s="72">
        <f>VLOOKUP($B1262,[2]Complaints!$A$4:$AJ$39,27,)</f>
        <v>0</v>
      </c>
      <c r="F1292" s="72">
        <f>VLOOKUP($B1262,[3]Complaints!$A$4:$AJ$39,27,)</f>
        <v>0</v>
      </c>
      <c r="G1292" s="72">
        <f>VLOOKUP($B1262,[4]Complaints!$A$4:$AJ$39,27,)</f>
        <v>0</v>
      </c>
      <c r="H1292" s="72">
        <f>VLOOKUP($B1262,[5]Complaints!$A$4:$AJ$39,27,)</f>
        <v>1</v>
      </c>
      <c r="I1292" s="72">
        <f>VLOOKUP($B1262,[6]Complaints!$A$4:$AJ$39,27,)</f>
        <v>0</v>
      </c>
      <c r="J1292" s="72">
        <f>VLOOKUP($B1262,[7]Complaints!$A$4:$AJ$39,27,)</f>
        <v>0</v>
      </c>
      <c r="K1292" s="72">
        <f>VLOOKUP($B1262,[8]Complaints!$A$4:$AJ$39,27,)</f>
        <v>0</v>
      </c>
      <c r="L1292" s="72">
        <f>VLOOKUP($B1262,[9]Complaints!$A$4:$AJ$39,27,)</f>
        <v>0</v>
      </c>
      <c r="M1292" s="72">
        <f>VLOOKUP($B1262,[10]Complaints!$A$4:$AJ$39,27,)</f>
        <v>0</v>
      </c>
      <c r="N1292" s="72">
        <f>VLOOKUP($B1262,[11]Complaints!$A$4:$AJ$39,27,)</f>
        <v>0</v>
      </c>
      <c r="O1292" s="73">
        <f>VLOOKUP($B1262,[12]Complaints!$A$4:$AJ$39,27,)</f>
        <v>0</v>
      </c>
      <c r="P1292" s="69">
        <f t="shared" si="337"/>
        <v>1</v>
      </c>
      <c r="Q1292" s="70">
        <f>IF(P1292=0,"",P1292/$P1270)</f>
        <v>0.33333333333333331</v>
      </c>
      <c r="S1292" s="18"/>
    </row>
    <row r="1293" spans="1:19" ht="15.75" customHeight="1" x14ac:dyDescent="0.2">
      <c r="B1293" s="145"/>
      <c r="C1293" s="39" t="s">
        <v>87</v>
      </c>
      <c r="D1293" s="71">
        <f>VLOOKUP($B1262,[1]Complaints!$A$4:$AJ$39,28,)</f>
        <v>0</v>
      </c>
      <c r="E1293" s="72">
        <f>VLOOKUP($B1262,[2]Complaints!$A$4:$AJ$39,28,)</f>
        <v>0</v>
      </c>
      <c r="F1293" s="72">
        <f>VLOOKUP($B1262,[3]Complaints!$A$4:$AJ$39,28,)</f>
        <v>0</v>
      </c>
      <c r="G1293" s="72">
        <f>VLOOKUP($B1262,[4]Complaints!$A$4:$AJ$39,28,)</f>
        <v>0</v>
      </c>
      <c r="H1293" s="72">
        <f>VLOOKUP($B1262,[5]Complaints!$A$4:$AJ$39,28,)</f>
        <v>0</v>
      </c>
      <c r="I1293" s="72">
        <f>VLOOKUP($B1262,[6]Complaints!$A$4:$AJ$39,28,)</f>
        <v>0</v>
      </c>
      <c r="J1293" s="72">
        <f>VLOOKUP($B1262,[7]Complaints!$A$4:$AJ$39,28,)</f>
        <v>0</v>
      </c>
      <c r="K1293" s="72">
        <f>VLOOKUP($B1262,[8]Complaints!$A$4:$AJ$39,28,)</f>
        <v>0</v>
      </c>
      <c r="L1293" s="72">
        <f>VLOOKUP($B1262,[9]Complaints!$A$4:$AJ$39,28,)</f>
        <v>0</v>
      </c>
      <c r="M1293" s="72">
        <f>VLOOKUP($B1262,[10]Complaints!$A$4:$AJ$39,28,)</f>
        <v>0</v>
      </c>
      <c r="N1293" s="72">
        <f>VLOOKUP($B1262,[11]Complaints!$A$4:$AJ$39,28,)</f>
        <v>0</v>
      </c>
      <c r="O1293" s="73">
        <f>VLOOKUP($B1262,[12]Complaints!$A$4:$AJ$39,28,)</f>
        <v>0</v>
      </c>
      <c r="P1293" s="69">
        <f t="shared" si="337"/>
        <v>0</v>
      </c>
      <c r="Q1293" s="70" t="str">
        <f>IF(P1293=0,"",P1293/$P1270)</f>
        <v/>
      </c>
      <c r="R1293" s="18"/>
    </row>
    <row r="1294" spans="1:19" ht="15.75" customHeight="1" x14ac:dyDescent="0.2">
      <c r="B1294" s="145"/>
      <c r="C1294" s="38" t="s">
        <v>111</v>
      </c>
      <c r="D1294" s="66">
        <f>VLOOKUP($B1262,[1]Complaints!$A$4:$AJ$39,29,)</f>
        <v>0</v>
      </c>
      <c r="E1294" s="67">
        <f>VLOOKUP($B1262,[2]Complaints!$A$4:$AJ$39,29,)</f>
        <v>0</v>
      </c>
      <c r="F1294" s="67">
        <f>VLOOKUP($B1262,[3]Complaints!$A$4:$AJ$39,29,)</f>
        <v>0</v>
      </c>
      <c r="G1294" s="67">
        <f>VLOOKUP($B1262,[4]Complaints!$A$4:$AJ$39,29,)</f>
        <v>0</v>
      </c>
      <c r="H1294" s="67">
        <f>VLOOKUP($B1262,[5]Complaints!$A$4:$AJ$39,29,)</f>
        <v>0</v>
      </c>
      <c r="I1294" s="67">
        <f>VLOOKUP($B1262,[6]Complaints!$A$4:$AJ$39,29,)</f>
        <v>0</v>
      </c>
      <c r="J1294" s="67">
        <f>VLOOKUP($B1262,[7]Complaints!$A$4:$AJ$39,29,)</f>
        <v>0</v>
      </c>
      <c r="K1294" s="67">
        <f>VLOOKUP($B1262,[8]Complaints!$A$4:$AJ$39,29,)</f>
        <v>0</v>
      </c>
      <c r="L1294" s="67">
        <f>VLOOKUP($B1262,[9]Complaints!$A$4:$AJ$39,29,)</f>
        <v>0</v>
      </c>
      <c r="M1294" s="67">
        <f>VLOOKUP($B1262,[10]Complaints!$A$4:$AJ$39,29,)</f>
        <v>0</v>
      </c>
      <c r="N1294" s="67">
        <f>VLOOKUP($B1262,[11]Complaints!$A$4:$AJ$39,29,)</f>
        <v>0</v>
      </c>
      <c r="O1294" s="68">
        <f>VLOOKUP($B1262,[12]Complaints!$A$4:$AJ$39,29,)</f>
        <v>0</v>
      </c>
      <c r="P1294" s="69">
        <f t="shared" si="337"/>
        <v>0</v>
      </c>
      <c r="Q1294" s="70" t="str">
        <f>IF(P1294=0,"",P1294/$P1270)</f>
        <v/>
      </c>
      <c r="R1294" s="18"/>
    </row>
    <row r="1295" spans="1:19" ht="15.75" customHeight="1" x14ac:dyDescent="0.2">
      <c r="B1295" s="145"/>
      <c r="C1295" s="38" t="s">
        <v>112</v>
      </c>
      <c r="D1295" s="66">
        <f>VLOOKUP($B1262,[1]Complaints!$A$4:$AJ$39,30,)</f>
        <v>0</v>
      </c>
      <c r="E1295" s="67">
        <f>VLOOKUP($B1262,[2]Complaints!$A$4:$AJ$39,30,)</f>
        <v>0</v>
      </c>
      <c r="F1295" s="67">
        <f>VLOOKUP($B1262,[3]Complaints!$A$4:$AJ$39,30,)</f>
        <v>0</v>
      </c>
      <c r="G1295" s="67">
        <f>VLOOKUP($B1262,[4]Complaints!$A$4:$AJ$39,30,)</f>
        <v>0</v>
      </c>
      <c r="H1295" s="67">
        <f>VLOOKUP($B1262,[5]Complaints!$A$4:$AJ$39,30,)</f>
        <v>0</v>
      </c>
      <c r="I1295" s="67">
        <f>VLOOKUP($B1262,[6]Complaints!$A$4:$AJ$39,30,)</f>
        <v>0</v>
      </c>
      <c r="J1295" s="67">
        <f>VLOOKUP($B1262,[7]Complaints!$A$4:$AJ$39,30,)</f>
        <v>0</v>
      </c>
      <c r="K1295" s="67">
        <f>VLOOKUP($B1262,[8]Complaints!$A$4:$AJ$39,30,)</f>
        <v>0</v>
      </c>
      <c r="L1295" s="67">
        <f>VLOOKUP($B1262,[9]Complaints!$A$4:$AJ$39,30,)</f>
        <v>0</v>
      </c>
      <c r="M1295" s="67">
        <f>VLOOKUP($B1262,[10]Complaints!$A$4:$AJ$39,30,)</f>
        <v>0</v>
      </c>
      <c r="N1295" s="67">
        <f>VLOOKUP($B1262,[11]Complaints!$A$4:$AJ$39,30,)</f>
        <v>0</v>
      </c>
      <c r="O1295" s="68">
        <f>VLOOKUP($B1262,[12]Complaints!$A$4:$AJ$39,30,)</f>
        <v>0</v>
      </c>
      <c r="P1295" s="69">
        <f t="shared" si="337"/>
        <v>0</v>
      </c>
      <c r="Q1295" s="70" t="str">
        <f>IF(P1295=0,"",P1295/$P1270)</f>
        <v/>
      </c>
      <c r="R1295" s="18"/>
    </row>
    <row r="1296" spans="1:19" ht="15.75" customHeight="1" x14ac:dyDescent="0.2">
      <c r="B1296" s="146"/>
      <c r="C1296" s="40" t="s">
        <v>119</v>
      </c>
      <c r="D1296" s="74">
        <f>VLOOKUP($B1262,[1]Complaints!$A$4:$AJ$39,31,)</f>
        <v>0</v>
      </c>
      <c r="E1296" s="75">
        <f>VLOOKUP($B1262,[2]Complaints!$A$4:$AJ$39,31,)</f>
        <v>0</v>
      </c>
      <c r="F1296" s="75">
        <f>VLOOKUP($B1262,[3]Complaints!$A$4:$AJ$39,31,)</f>
        <v>0</v>
      </c>
      <c r="G1296" s="75">
        <f>VLOOKUP($B1262,[4]Complaints!$A$4:$AJ$39,31,)</f>
        <v>0</v>
      </c>
      <c r="H1296" s="75">
        <f>VLOOKUP($B1262,[5]Complaints!$A$4:$AJ$39,31,)</f>
        <v>0</v>
      </c>
      <c r="I1296" s="75">
        <f>VLOOKUP($B1262,[6]Complaints!$A$4:$AJ$39,31,)</f>
        <v>0</v>
      </c>
      <c r="J1296" s="75">
        <f>VLOOKUP($B1262,[7]Complaints!$A$4:$AJ$39,31,)</f>
        <v>0</v>
      </c>
      <c r="K1296" s="75">
        <f>VLOOKUP($B1262,[8]Complaints!$A$4:$AJ$39,31,)</f>
        <v>0</v>
      </c>
      <c r="L1296" s="75">
        <f>VLOOKUP($B1262,[9]Complaints!$A$4:$AJ$39,31,)</f>
        <v>0</v>
      </c>
      <c r="M1296" s="75">
        <f>VLOOKUP($B1262,[10]Complaints!$A$4:$AJ$39,31,)</f>
        <v>0</v>
      </c>
      <c r="N1296" s="75">
        <f>VLOOKUP($B1262,[11]Complaints!$A$4:$AJ$39,31,)</f>
        <v>0</v>
      </c>
      <c r="O1296" s="76">
        <f>VLOOKUP($B1262,[12]Complaints!$A$4:$AJ$39,31,)</f>
        <v>0</v>
      </c>
      <c r="P1296" s="77">
        <f t="shared" si="337"/>
        <v>0</v>
      </c>
      <c r="Q1296" s="50" t="str">
        <f>IF(P1296=0,"",P1296/$P1270)</f>
        <v/>
      </c>
      <c r="R1296" s="18"/>
    </row>
    <row r="1297" spans="2:18" ht="15.75" customHeight="1" x14ac:dyDescent="0.2">
      <c r="B1297" s="146"/>
      <c r="C1297" s="38" t="s">
        <v>113</v>
      </c>
      <c r="D1297" s="66">
        <f>VLOOKUP($B1262,[1]Complaints!$A$4:$AJ$39,32,)</f>
        <v>0</v>
      </c>
      <c r="E1297" s="67">
        <f>VLOOKUP($B1262,[2]Complaints!$A$4:$AJ$39,32,)</f>
        <v>0</v>
      </c>
      <c r="F1297" s="67">
        <f>VLOOKUP($B1262,[3]Complaints!$A$4:$AJ$39,32,)</f>
        <v>0</v>
      </c>
      <c r="G1297" s="67">
        <f>VLOOKUP($B1262,[4]Complaints!$A$4:$AJ$39,32,)</f>
        <v>0</v>
      </c>
      <c r="H1297" s="67">
        <f>VLOOKUP($B1262,[5]Complaints!$A$4:$AJ$39,32,)</f>
        <v>0</v>
      </c>
      <c r="I1297" s="67">
        <f>VLOOKUP($B1262,[6]Complaints!$A$4:$AJ$39,32,)</f>
        <v>0</v>
      </c>
      <c r="J1297" s="67">
        <f>VLOOKUP($B1262,[7]Complaints!$A$4:$AJ$39,32,)</f>
        <v>0</v>
      </c>
      <c r="K1297" s="67">
        <f>VLOOKUP($B1262,[8]Complaints!$A$4:$AJ$39,32,)</f>
        <v>0</v>
      </c>
      <c r="L1297" s="67">
        <f>VLOOKUP($B1262,[9]Complaints!$A$4:$AJ$39,32,)</f>
        <v>0</v>
      </c>
      <c r="M1297" s="67">
        <f>VLOOKUP($B1262,[10]Complaints!$A$4:$AJ$39,32,)</f>
        <v>0</v>
      </c>
      <c r="N1297" s="67">
        <f>VLOOKUP($B1262,[11]Complaints!$A$4:$AJ$39,32,)</f>
        <v>0</v>
      </c>
      <c r="O1297" s="68">
        <f>VLOOKUP($B1262,[12]Complaints!$A$4:$AJ$39,32,)</f>
        <v>0</v>
      </c>
      <c r="P1297" s="69">
        <f t="shared" si="337"/>
        <v>0</v>
      </c>
      <c r="Q1297" s="70" t="str">
        <f>IF(P1297=0,"",P1297/$P1270)</f>
        <v/>
      </c>
      <c r="R1297" s="18"/>
    </row>
    <row r="1298" spans="2:18" ht="15.75" customHeight="1" x14ac:dyDescent="0.2">
      <c r="B1298" s="146"/>
      <c r="C1298" s="38" t="s">
        <v>114</v>
      </c>
      <c r="D1298" s="66">
        <f>VLOOKUP($B1262,[1]Complaints!$A$4:$AJ$39,33,)</f>
        <v>0</v>
      </c>
      <c r="E1298" s="67">
        <f>VLOOKUP($B1262,[2]Complaints!$A$4:$AJ$39,33,)</f>
        <v>0</v>
      </c>
      <c r="F1298" s="67">
        <f>VLOOKUP($B1262,[3]Complaints!$A$4:$AJ$39,33,)</f>
        <v>0</v>
      </c>
      <c r="G1298" s="67">
        <f>VLOOKUP($B1262,[4]Complaints!$A$4:$AJ$39,33,)</f>
        <v>0</v>
      </c>
      <c r="H1298" s="67">
        <f>VLOOKUP($B1262,[5]Complaints!$A$4:$AJ$39,33,)</f>
        <v>0</v>
      </c>
      <c r="I1298" s="67">
        <f>VLOOKUP($B1262,[6]Complaints!$A$4:$AJ$39,33,)</f>
        <v>0</v>
      </c>
      <c r="J1298" s="67">
        <f>VLOOKUP($B1262,[7]Complaints!$A$4:$AJ$39,33,)</f>
        <v>0</v>
      </c>
      <c r="K1298" s="67">
        <f>VLOOKUP($B1262,[8]Complaints!$A$4:$AJ$39,33,)</f>
        <v>0</v>
      </c>
      <c r="L1298" s="67">
        <f>VLOOKUP($B1262,[9]Complaints!$A$4:$AJ$39,33,)</f>
        <v>0</v>
      </c>
      <c r="M1298" s="67">
        <f>VLOOKUP($B1262,[10]Complaints!$A$4:$AJ$39,33,)</f>
        <v>0</v>
      </c>
      <c r="N1298" s="67">
        <f>VLOOKUP($B1262,[11]Complaints!$A$4:$AJ$39,33,)</f>
        <v>0</v>
      </c>
      <c r="O1298" s="68">
        <f>VLOOKUP($B1262,[12]Complaints!$A$4:$AJ$39,33,)</f>
        <v>0</v>
      </c>
      <c r="P1298" s="69">
        <f t="shared" si="337"/>
        <v>0</v>
      </c>
      <c r="Q1298" s="70" t="str">
        <f>IF(P1298=0,"",P1298/$P1270)</f>
        <v/>
      </c>
      <c r="R1298" s="18"/>
    </row>
    <row r="1299" spans="2:18" ht="15.75" customHeight="1" x14ac:dyDescent="0.2">
      <c r="B1299" s="146"/>
      <c r="C1299" s="38" t="s">
        <v>115</v>
      </c>
      <c r="D1299" s="66">
        <f>VLOOKUP($B1262,[1]Complaints!$A$4:$AJ$39,34,)</f>
        <v>0</v>
      </c>
      <c r="E1299" s="67">
        <f>VLOOKUP($B1262,[2]Complaints!$A$4:$AJ$39,34,)</f>
        <v>0</v>
      </c>
      <c r="F1299" s="67">
        <f>VLOOKUP($B1262,[3]Complaints!$A$4:$AJ$39,34,)</f>
        <v>0</v>
      </c>
      <c r="G1299" s="67">
        <f>VLOOKUP($B1262,[4]Complaints!$A$4:$AJ$39,34,)</f>
        <v>0</v>
      </c>
      <c r="H1299" s="67">
        <f>VLOOKUP($B1262,[5]Complaints!$A$4:$AJ$39,34,)</f>
        <v>0</v>
      </c>
      <c r="I1299" s="67">
        <f>VLOOKUP($B1262,[6]Complaints!$A$4:$AJ$39,34,)</f>
        <v>0</v>
      </c>
      <c r="J1299" s="67">
        <f>VLOOKUP($B1262,[7]Complaints!$A$4:$AJ$39,34,)</f>
        <v>0</v>
      </c>
      <c r="K1299" s="67">
        <f>VLOOKUP($B1262,[8]Complaints!$A$4:$AJ$39,34,)</f>
        <v>0</v>
      </c>
      <c r="L1299" s="67">
        <f>VLOOKUP($B1262,[9]Complaints!$A$4:$AJ$39,34,)</f>
        <v>0</v>
      </c>
      <c r="M1299" s="67">
        <f>VLOOKUP($B1262,[10]Complaints!$A$4:$AJ$39,34,)</f>
        <v>0</v>
      </c>
      <c r="N1299" s="67">
        <f>VLOOKUP($B1262,[11]Complaints!$A$4:$AJ$39,34,)</f>
        <v>0</v>
      </c>
      <c r="O1299" s="68">
        <f>VLOOKUP($B1262,[12]Complaints!$A$4:$AJ$39,34,)</f>
        <v>0</v>
      </c>
      <c r="P1299" s="69">
        <f t="shared" si="337"/>
        <v>0</v>
      </c>
      <c r="Q1299" s="70" t="str">
        <f>IF(P1299=0,"",P1299/$P1270)</f>
        <v/>
      </c>
      <c r="R1299" s="18"/>
    </row>
    <row r="1300" spans="2:18" ht="15.75" customHeight="1" x14ac:dyDescent="0.2">
      <c r="B1300" s="146"/>
      <c r="C1300" s="38" t="s">
        <v>116</v>
      </c>
      <c r="D1300" s="66">
        <f>VLOOKUP($B1262,[1]Complaints!$A$4:$AJ$39,35,)</f>
        <v>0</v>
      </c>
      <c r="E1300" s="67">
        <f>VLOOKUP($B1262,[2]Complaints!$A$4:$AJ$39,35,)</f>
        <v>0</v>
      </c>
      <c r="F1300" s="67">
        <f>VLOOKUP($B1262,[3]Complaints!$A$4:$AJ$39,35,)</f>
        <v>0</v>
      </c>
      <c r="G1300" s="67">
        <f>VLOOKUP($B1262,[4]Complaints!$A$4:$AJ$39,35,)</f>
        <v>0</v>
      </c>
      <c r="H1300" s="67">
        <f>VLOOKUP($B1262,[5]Complaints!$A$4:$AJ$39,35,)</f>
        <v>0</v>
      </c>
      <c r="I1300" s="67">
        <f>VLOOKUP($B1262,[6]Complaints!$A$4:$AJ$39,35,)</f>
        <v>0</v>
      </c>
      <c r="J1300" s="67">
        <f>VLOOKUP($B1262,[7]Complaints!$A$4:$AJ$39,35,)</f>
        <v>0</v>
      </c>
      <c r="K1300" s="67">
        <f>VLOOKUP($B1262,[8]Complaints!$A$4:$AJ$39,35,)</f>
        <v>0</v>
      </c>
      <c r="L1300" s="67">
        <f>VLOOKUP($B1262,[9]Complaints!$A$4:$AJ$39,35,)</f>
        <v>0</v>
      </c>
      <c r="M1300" s="67">
        <f>VLOOKUP($B1262,[10]Complaints!$A$4:$AJ$39,35,)</f>
        <v>0</v>
      </c>
      <c r="N1300" s="67">
        <f>VLOOKUP($B1262,[11]Complaints!$A$4:$AJ$39,35,)</f>
        <v>0</v>
      </c>
      <c r="O1300" s="68">
        <f>VLOOKUP($B1262,[12]Complaints!$A$4:$AJ$39,35,)</f>
        <v>0</v>
      </c>
      <c r="P1300" s="69">
        <f t="shared" si="337"/>
        <v>0</v>
      </c>
      <c r="Q1300" s="70" t="str">
        <f>IF(P1300=0,"",P1300/$P1270)</f>
        <v/>
      </c>
      <c r="R1300" s="18"/>
    </row>
    <row r="1301" spans="2:18" ht="15.75" customHeight="1" thickBot="1" x14ac:dyDescent="0.25">
      <c r="B1301" s="147"/>
      <c r="C1301" s="41" t="s">
        <v>117</v>
      </c>
      <c r="D1301" s="78">
        <f>VLOOKUP($B1262,[1]Complaints!$A$4:$AJ$39,36,)</f>
        <v>0</v>
      </c>
      <c r="E1301" s="79">
        <f>VLOOKUP($B1262,[2]Complaints!$A$4:$AJ$39,36,)</f>
        <v>0</v>
      </c>
      <c r="F1301" s="79">
        <f>VLOOKUP($B1262,[3]Complaints!$A$4:$AJ$39,36,)</f>
        <v>0</v>
      </c>
      <c r="G1301" s="79">
        <f>VLOOKUP($B1262,[4]Complaints!$A$4:$AJ$39,36,)</f>
        <v>0</v>
      </c>
      <c r="H1301" s="79">
        <f>VLOOKUP($B1262,[5]Complaints!$A$4:$AJ$39,36,)</f>
        <v>0</v>
      </c>
      <c r="I1301" s="79">
        <f>VLOOKUP($B1262,[6]Complaints!$A$4:$AJ$39,36,)</f>
        <v>0</v>
      </c>
      <c r="J1301" s="79">
        <f>VLOOKUP($B1262,[7]Complaints!$A$4:$AJ$39,36,)</f>
        <v>0</v>
      </c>
      <c r="K1301" s="79">
        <f>VLOOKUP($B1262,[8]Complaints!$A$4:$AJ$39,36,)</f>
        <v>0</v>
      </c>
      <c r="L1301" s="79">
        <f>VLOOKUP($B1262,[9]Complaints!$A$4:$AJ$39,36,)</f>
        <v>0</v>
      </c>
      <c r="M1301" s="79">
        <f>VLOOKUP($B1262,[10]Complaints!$A$4:$AJ$39,36,)</f>
        <v>0</v>
      </c>
      <c r="N1301" s="79">
        <f>VLOOKUP($B1262,[11]Complaints!$A$4:$AJ$39,36,)</f>
        <v>0</v>
      </c>
      <c r="O1301" s="80">
        <f>VLOOKUP($B1262,[12]Complaints!$A$4:$AJ$39,36,)</f>
        <v>0</v>
      </c>
      <c r="P1301" s="81">
        <f t="shared" si="337"/>
        <v>0</v>
      </c>
      <c r="Q1301" s="82" t="str">
        <f>IF(P1301=0,"",P1301/$P1270)</f>
        <v/>
      </c>
      <c r="R1301" s="18"/>
    </row>
    <row r="1302" spans="2:18" ht="15.75" customHeight="1" thickBot="1" x14ac:dyDescent="0.25">
      <c r="R1302" s="18"/>
    </row>
    <row r="1303" spans="2:18" ht="15.75" customHeight="1" x14ac:dyDescent="0.25">
      <c r="B1303" s="158" t="s">
        <v>37</v>
      </c>
      <c r="C1303" s="159"/>
      <c r="D1303" s="32" t="s">
        <v>0</v>
      </c>
      <c r="E1303" s="20" t="s">
        <v>1</v>
      </c>
      <c r="F1303" s="20" t="s">
        <v>2</v>
      </c>
      <c r="G1303" s="20" t="s">
        <v>3</v>
      </c>
      <c r="H1303" s="20" t="s">
        <v>4</v>
      </c>
      <c r="I1303" s="20" t="s">
        <v>5</v>
      </c>
      <c r="J1303" s="20" t="s">
        <v>6</v>
      </c>
      <c r="K1303" s="20" t="s">
        <v>7</v>
      </c>
      <c r="L1303" s="20" t="s">
        <v>8</v>
      </c>
      <c r="M1303" s="20" t="s">
        <v>9</v>
      </c>
      <c r="N1303" s="20" t="s">
        <v>10</v>
      </c>
      <c r="O1303" s="33" t="s">
        <v>11</v>
      </c>
      <c r="P1303" s="35" t="s">
        <v>12</v>
      </c>
      <c r="Q1303" s="160" t="s">
        <v>104</v>
      </c>
      <c r="R1303" s="18"/>
    </row>
    <row r="1304" spans="2:18" ht="15.75" customHeight="1" thickBot="1" x14ac:dyDescent="0.3">
      <c r="B1304" s="162" t="s">
        <v>46</v>
      </c>
      <c r="C1304" s="163"/>
      <c r="D1304" s="34">
        <v>2020</v>
      </c>
      <c r="E1304" s="34">
        <v>2020</v>
      </c>
      <c r="F1304" s="34">
        <v>2020</v>
      </c>
      <c r="G1304" s="34">
        <v>2020</v>
      </c>
      <c r="H1304" s="34">
        <v>2020</v>
      </c>
      <c r="I1304" s="34">
        <v>2020</v>
      </c>
      <c r="J1304" s="34">
        <v>2020</v>
      </c>
      <c r="K1304" s="34">
        <v>2020</v>
      </c>
      <c r="L1304" s="34">
        <v>2020</v>
      </c>
      <c r="M1304" s="25">
        <v>2021</v>
      </c>
      <c r="N1304" s="25">
        <v>2021</v>
      </c>
      <c r="O1304" s="25">
        <v>2021</v>
      </c>
      <c r="P1304" s="36" t="s">
        <v>122</v>
      </c>
      <c r="Q1304" s="161"/>
      <c r="R1304" s="18"/>
    </row>
    <row r="1305" spans="2:18" ht="12.75" customHeight="1" thickBot="1" x14ac:dyDescent="0.25">
      <c r="B1305" s="164" t="s">
        <v>38</v>
      </c>
      <c r="C1305" s="165"/>
      <c r="D1305" s="42">
        <f>VLOOKUP($B1304,[1]Complaints!$A$4:$AJ$39,2,)</f>
        <v>245</v>
      </c>
      <c r="E1305" s="43">
        <f>VLOOKUP($B1304,[2]Complaints!$A$4:$AJ$39,2,)</f>
        <v>407</v>
      </c>
      <c r="F1305" s="43">
        <f>VLOOKUP($B1304,[3]Complaints!$A$4:$AJ$39,2)</f>
        <v>565</v>
      </c>
      <c r="G1305" s="43">
        <f>VLOOKUP($B1304,[4]Complaints!$A$4:$AJ$39,2)</f>
        <v>793</v>
      </c>
      <c r="H1305" s="43">
        <f>VLOOKUP($B1304,[5]Complaints!$A$4:$AJ$39,2)</f>
        <v>887</v>
      </c>
      <c r="I1305" s="43">
        <f>VLOOKUP($B1304,[6]Complaints!$A$4:$AJ$39,2)</f>
        <v>1101</v>
      </c>
      <c r="J1305" s="43">
        <f>VLOOKUP($B1304,[7]Complaints!$A$4:$AJ$39,2)</f>
        <v>902</v>
      </c>
      <c r="K1305" s="43">
        <f>VLOOKUP($B1304,[8]Complaints!$A$4:$AJ$39,2)</f>
        <v>902</v>
      </c>
      <c r="L1305" s="43">
        <f>VLOOKUP($B1304,[9]Complaints!$A$4:$AJ$39,2)</f>
        <v>918</v>
      </c>
      <c r="M1305" s="43">
        <f>VLOOKUP($B1304,[10]Complaints!$A$4:$AJ$39,2)</f>
        <v>655</v>
      </c>
      <c r="N1305" s="43">
        <f>VLOOKUP($B1304,[11]Complaints!$A$4:$AJ$39,2)</f>
        <v>0</v>
      </c>
      <c r="O1305" s="44">
        <f>VLOOKUP($B1304,[12]Complaints!$A$4:$AJ$39,2)</f>
        <v>0</v>
      </c>
      <c r="P1305" s="45">
        <f>SUM(D1305:O1305)</f>
        <v>7375</v>
      </c>
      <c r="Q1305" s="46"/>
      <c r="R1305" s="18"/>
    </row>
    <row r="1306" spans="2:18" ht="15.75" customHeight="1" x14ac:dyDescent="0.2">
      <c r="B1306" s="166" t="s">
        <v>94</v>
      </c>
      <c r="C1306" s="167"/>
      <c r="D1306" s="47">
        <f>VLOOKUP($B1304,[1]Complaints!$A$4:$AF$39,3,)</f>
        <v>0</v>
      </c>
      <c r="E1306" s="48">
        <f>VLOOKUP($B1304,[2]Complaints!$A$4:$AF$39,3,)</f>
        <v>1</v>
      </c>
      <c r="F1306" s="48">
        <f>VLOOKUP($B1304,[3]Complaints!$A$4:$AG$39,3,)</f>
        <v>2</v>
      </c>
      <c r="G1306" s="48">
        <f>VLOOKUP($B1304,[4]Complaints!$A$4:$AG$39,3,)</f>
        <v>3</v>
      </c>
      <c r="H1306" s="48">
        <f>VLOOKUP($B1304,[5]Complaints!$A$4:$AG$39,3,)</f>
        <v>0</v>
      </c>
      <c r="I1306" s="48">
        <f>VLOOKUP($B1304,[6]Complaints!$A$4:$AG$39,3,)</f>
        <v>1</v>
      </c>
      <c r="J1306" s="48">
        <f>VLOOKUP($B1304,[7]Complaints!$A$4:$AG$39,3,)</f>
        <v>0</v>
      </c>
      <c r="K1306" s="48">
        <f>VLOOKUP($B1304,[8]Complaints!$A$4:$AG$39,3,)</f>
        <v>0</v>
      </c>
      <c r="L1306" s="48">
        <f>VLOOKUP($B1304,[9]Complaints!$A$4:$AG$39,3,)</f>
        <v>1</v>
      </c>
      <c r="M1306" s="48">
        <f>VLOOKUP($B1304,[10]Complaints!$A$4:$AG$39,3,)</f>
        <v>0</v>
      </c>
      <c r="N1306" s="48">
        <f>VLOOKUP($B1304,[11]Complaints!$A$4:$AG$39,3,)</f>
        <v>0</v>
      </c>
      <c r="O1306" s="49">
        <f>VLOOKUP($B1304,[12]Complaints!$A$4:$AG$39,3,)</f>
        <v>0</v>
      </c>
      <c r="P1306" s="45">
        <f>SUM(D1306:O1306)</f>
        <v>8</v>
      </c>
      <c r="Q1306" s="50"/>
      <c r="R1306" s="18"/>
    </row>
    <row r="1307" spans="2:18" ht="15.75" customHeight="1" x14ac:dyDescent="0.2">
      <c r="B1307" s="26"/>
      <c r="C1307" s="28" t="s">
        <v>102</v>
      </c>
      <c r="D1307" s="51">
        <f>IF(D1305=0,"",D1306/D1305)</f>
        <v>0</v>
      </c>
      <c r="E1307" s="52">
        <f t="shared" ref="E1307:O1307" si="338">IF(E1305=0,"",E1306/E1305)</f>
        <v>2.4570024570024569E-3</v>
      </c>
      <c r="F1307" s="52">
        <f t="shared" si="338"/>
        <v>3.5398230088495575E-3</v>
      </c>
      <c r="G1307" s="52">
        <f t="shared" si="338"/>
        <v>3.7831021437578815E-3</v>
      </c>
      <c r="H1307" s="52">
        <f t="shared" si="338"/>
        <v>0</v>
      </c>
      <c r="I1307" s="52">
        <f t="shared" si="338"/>
        <v>9.0826521344232513E-4</v>
      </c>
      <c r="J1307" s="52">
        <f t="shared" si="338"/>
        <v>0</v>
      </c>
      <c r="K1307" s="52">
        <f t="shared" si="338"/>
        <v>0</v>
      </c>
      <c r="L1307" s="52">
        <f t="shared" si="338"/>
        <v>1.0893246187363835E-3</v>
      </c>
      <c r="M1307" s="52">
        <f t="shared" si="338"/>
        <v>0</v>
      </c>
      <c r="N1307" s="52" t="str">
        <f t="shared" si="338"/>
        <v/>
      </c>
      <c r="O1307" s="53" t="str">
        <f t="shared" si="338"/>
        <v/>
      </c>
      <c r="P1307" s="54">
        <f>IF(P1306="","",P1306/P1305)</f>
        <v>1.0847457627118644E-3</v>
      </c>
      <c r="Q1307" s="50"/>
      <c r="R1307" s="18"/>
    </row>
    <row r="1308" spans="2:18" s="21" customFormat="1" ht="15.75" customHeight="1" x14ac:dyDescent="0.2">
      <c r="B1308" s="155" t="s">
        <v>95</v>
      </c>
      <c r="C1308" s="156"/>
      <c r="D1308" s="47">
        <f>VLOOKUP($B1304,[1]Complaints!$A$4:$AF$39,4,)</f>
        <v>0</v>
      </c>
      <c r="E1308" s="48">
        <f>VLOOKUP($B1304,[2]Complaints!$A$4:$AF$39,4,)</f>
        <v>0</v>
      </c>
      <c r="F1308" s="48">
        <f>VLOOKUP($B1304,[3]Complaints!$A$4:$AG$39,4,)</f>
        <v>0</v>
      </c>
      <c r="G1308" s="48">
        <f>VLOOKUP($B1304,[4]Complaints!$A$4:$AG$39,4,)</f>
        <v>1</v>
      </c>
      <c r="H1308" s="48">
        <f>VLOOKUP($B1304,[5]Complaints!$A$4:$AG$39,4,)</f>
        <v>0</v>
      </c>
      <c r="I1308" s="48">
        <f>VLOOKUP($B1304,[6]Complaints!$A$4:$AG$39,4,)</f>
        <v>1</v>
      </c>
      <c r="J1308" s="48">
        <f>VLOOKUP($B1304,[7]Complaints!$A$4:$AG$39,4,)</f>
        <v>0</v>
      </c>
      <c r="K1308" s="48">
        <f>VLOOKUP($B1304,[8]Complaints!$A$4:$AG$39,4,)</f>
        <v>0</v>
      </c>
      <c r="L1308" s="48">
        <f>VLOOKUP($B1304,[9]Complaints!$A$4:$AG$39,4,)</f>
        <v>0</v>
      </c>
      <c r="M1308" s="48">
        <f>VLOOKUP($B1304,[10]Complaints!$A$4:$AG$39,4,)</f>
        <v>0</v>
      </c>
      <c r="N1308" s="48">
        <f>VLOOKUP($B1304,[11]Complaints!$A$4:$AG$39,4,)</f>
        <v>0</v>
      </c>
      <c r="O1308" s="49">
        <f>VLOOKUP($B1304,[12]Complaints!$A$4:$AG$39,4,)</f>
        <v>0</v>
      </c>
      <c r="P1308" s="55">
        <f t="shared" ref="P1308" si="339">SUM(D1308:O1308)</f>
        <v>2</v>
      </c>
      <c r="Q1308" s="50"/>
    </row>
    <row r="1309" spans="2:18" ht="15.75" customHeight="1" x14ac:dyDescent="0.2">
      <c r="B1309" s="26"/>
      <c r="C1309" s="28" t="s">
        <v>98</v>
      </c>
      <c r="D1309" s="51">
        <f>IF(D1305=0,"",D1308/D1305)</f>
        <v>0</v>
      </c>
      <c r="E1309" s="52">
        <f t="shared" ref="E1309:O1309" si="340">IF(E1305=0,"",E1308/E1305)</f>
        <v>0</v>
      </c>
      <c r="F1309" s="52">
        <f t="shared" si="340"/>
        <v>0</v>
      </c>
      <c r="G1309" s="52">
        <f t="shared" si="340"/>
        <v>1.2610340479192938E-3</v>
      </c>
      <c r="H1309" s="52">
        <f t="shared" si="340"/>
        <v>0</v>
      </c>
      <c r="I1309" s="52">
        <f t="shared" si="340"/>
        <v>9.0826521344232513E-4</v>
      </c>
      <c r="J1309" s="52">
        <f t="shared" si="340"/>
        <v>0</v>
      </c>
      <c r="K1309" s="52">
        <f t="shared" si="340"/>
        <v>0</v>
      </c>
      <c r="L1309" s="52">
        <f t="shared" si="340"/>
        <v>0</v>
      </c>
      <c r="M1309" s="52">
        <f t="shared" si="340"/>
        <v>0</v>
      </c>
      <c r="N1309" s="52" t="str">
        <f t="shared" si="340"/>
        <v/>
      </c>
      <c r="O1309" s="53" t="str">
        <f t="shared" si="340"/>
        <v/>
      </c>
      <c r="P1309" s="54">
        <f>IF(P1308="","",P1308/P1305)</f>
        <v>2.711864406779661E-4</v>
      </c>
      <c r="Q1309" s="50"/>
      <c r="R1309" s="18"/>
    </row>
    <row r="1310" spans="2:18" ht="15.75" customHeight="1" x14ac:dyDescent="0.2">
      <c r="B1310" s="155" t="s">
        <v>96</v>
      </c>
      <c r="C1310" s="156"/>
      <c r="D1310" s="47">
        <f>VLOOKUP($B1304,[1]Complaints!$A$4:$AF$39,5,)</f>
        <v>0</v>
      </c>
      <c r="E1310" s="48">
        <f>VLOOKUP($B1304,[2]Complaints!$A$4:$AF$39,5,)</f>
        <v>1</v>
      </c>
      <c r="F1310" s="48">
        <f>VLOOKUP($B1304,[3]Complaints!$A$4:$AG$39,5,)</f>
        <v>2</v>
      </c>
      <c r="G1310" s="48">
        <f>VLOOKUP($B1304,[4]Complaints!$A$4:$AG$39,5,)</f>
        <v>2</v>
      </c>
      <c r="H1310" s="48">
        <f>VLOOKUP($B1304,[5]Complaints!$A$4:$AG$39,5,)</f>
        <v>0</v>
      </c>
      <c r="I1310" s="48">
        <f>VLOOKUP($B1304,[6]Complaints!$A$4:$AG$39,5,)</f>
        <v>0</v>
      </c>
      <c r="J1310" s="48">
        <f>VLOOKUP($B1304,[7]Complaints!$A$4:$AG$39,5,)</f>
        <v>0</v>
      </c>
      <c r="K1310" s="48">
        <f>VLOOKUP($B1304,[8]Complaints!$A$4:$AG$39,5,)</f>
        <v>0</v>
      </c>
      <c r="L1310" s="48">
        <f>VLOOKUP($B1304,[9]Complaints!$A$4:$AG$39,5,)</f>
        <v>1</v>
      </c>
      <c r="M1310" s="48">
        <f>VLOOKUP($B1304,[10]Complaints!$A$4:$AG$39,5,)</f>
        <v>0</v>
      </c>
      <c r="N1310" s="48">
        <f>VLOOKUP($B1304,[11]Complaints!$A$4:$AG$39,5,)</f>
        <v>0</v>
      </c>
      <c r="O1310" s="49">
        <f>VLOOKUP($B1304,[12]Complaints!$A$4:$AG$39,5,)</f>
        <v>0</v>
      </c>
      <c r="P1310" s="55">
        <f t="shared" ref="P1310" si="341">SUM(D1310:O1310)</f>
        <v>6</v>
      </c>
      <c r="Q1310" s="50"/>
      <c r="R1310" s="18"/>
    </row>
    <row r="1311" spans="2:18" ht="15.75" customHeight="1" x14ac:dyDescent="0.2">
      <c r="B1311" s="26"/>
      <c r="C1311" s="28" t="s">
        <v>99</v>
      </c>
      <c r="D1311" s="51">
        <f>IF(D1305=0,"",D1310/D1305)</f>
        <v>0</v>
      </c>
      <c r="E1311" s="52">
        <f t="shared" ref="E1311:O1311" si="342">IF(E1305=0,"",E1310/E1305)</f>
        <v>2.4570024570024569E-3</v>
      </c>
      <c r="F1311" s="52">
        <f t="shared" si="342"/>
        <v>3.5398230088495575E-3</v>
      </c>
      <c r="G1311" s="52">
        <f t="shared" si="342"/>
        <v>2.5220680958385876E-3</v>
      </c>
      <c r="H1311" s="52">
        <f t="shared" si="342"/>
        <v>0</v>
      </c>
      <c r="I1311" s="52">
        <f t="shared" si="342"/>
        <v>0</v>
      </c>
      <c r="J1311" s="52">
        <f t="shared" si="342"/>
        <v>0</v>
      </c>
      <c r="K1311" s="52">
        <f t="shared" si="342"/>
        <v>0</v>
      </c>
      <c r="L1311" s="52">
        <f t="shared" si="342"/>
        <v>1.0893246187363835E-3</v>
      </c>
      <c r="M1311" s="52">
        <f t="shared" si="342"/>
        <v>0</v>
      </c>
      <c r="N1311" s="52" t="str">
        <f t="shared" si="342"/>
        <v/>
      </c>
      <c r="O1311" s="53" t="str">
        <f t="shared" si="342"/>
        <v/>
      </c>
      <c r="P1311" s="54">
        <f>IF(P1310="","",P1310/P1305)</f>
        <v>8.1355932203389829E-4</v>
      </c>
      <c r="Q1311" s="50"/>
      <c r="R1311" s="18"/>
    </row>
    <row r="1312" spans="2:18" ht="15.75" customHeight="1" x14ac:dyDescent="0.2">
      <c r="B1312" s="157" t="s">
        <v>97</v>
      </c>
      <c r="C1312" s="156"/>
      <c r="D1312" s="47">
        <f>VLOOKUP($B1304,[1]Complaints!$A$4:$AF$39,6,)</f>
        <v>0</v>
      </c>
      <c r="E1312" s="48">
        <f>VLOOKUP($B1304,[2]Complaints!$A$4:$AF$39,6,)</f>
        <v>1</v>
      </c>
      <c r="F1312" s="48">
        <f>VLOOKUP($B1304,[3]Complaints!$A$4:$AG$39,6,)</f>
        <v>1</v>
      </c>
      <c r="G1312" s="48">
        <f>VLOOKUP($B1304,[4]Complaints!$A$4:$AG$39,6,)</f>
        <v>3</v>
      </c>
      <c r="H1312" s="48">
        <f>VLOOKUP($B1304,[5]Complaints!$A$4:$AG$39,6,)</f>
        <v>0</v>
      </c>
      <c r="I1312" s="48">
        <f>VLOOKUP($B1304,[6]Complaints!$A$4:$AG$39,6,)</f>
        <v>0</v>
      </c>
      <c r="J1312" s="48">
        <f>VLOOKUP($B1304,[7]Complaints!$A$4:$AG$39,6,)</f>
        <v>0</v>
      </c>
      <c r="K1312" s="48">
        <f>VLOOKUP($B1304,[8]Complaints!$A$4:$AG$39,6,)</f>
        <v>0</v>
      </c>
      <c r="L1312" s="48">
        <f>VLOOKUP($B1304,[9]Complaints!$A$4:$AG$39,6,)</f>
        <v>1</v>
      </c>
      <c r="M1312" s="48">
        <f>VLOOKUP($B1304,[10]Complaints!$A$4:$AG$39,6,)</f>
        <v>0</v>
      </c>
      <c r="N1312" s="48">
        <f>VLOOKUP($B1304,[11]Complaints!$A$4:$AG$39,6,)</f>
        <v>0</v>
      </c>
      <c r="O1312" s="49">
        <f>VLOOKUP($B1304,[12]Complaints!$A$4:$AG$39,6,)</f>
        <v>0</v>
      </c>
      <c r="P1312" s="55">
        <f t="shared" ref="P1312" si="343">SUM(D1312:O1312)</f>
        <v>6</v>
      </c>
      <c r="Q1312" s="50"/>
      <c r="R1312" s="18"/>
    </row>
    <row r="1313" spans="2:18" ht="15.75" customHeight="1" thickBot="1" x14ac:dyDescent="0.25">
      <c r="B1313" s="27"/>
      <c r="C1313" s="29" t="s">
        <v>100</v>
      </c>
      <c r="D1313" s="56" t="str">
        <f>IF(D1312=0,"",D1312/D1310)</f>
        <v/>
      </c>
      <c r="E1313" s="57">
        <f t="shared" ref="E1313:H1313" si="344">IF(E1312=0,"",E1312/E1310)</f>
        <v>1</v>
      </c>
      <c r="F1313" s="57">
        <f t="shared" si="344"/>
        <v>0.5</v>
      </c>
      <c r="G1313" s="57">
        <f t="shared" si="344"/>
        <v>1.5</v>
      </c>
      <c r="H1313" s="57" t="str">
        <f t="shared" si="344"/>
        <v/>
      </c>
      <c r="I1313" s="57" t="str">
        <f>IF(I1312=0,"",I1312/I1310)</f>
        <v/>
      </c>
      <c r="J1313" s="57" t="str">
        <f t="shared" ref="J1313:O1313" si="345">IF(J1312=0,"",J1312/J1310)</f>
        <v/>
      </c>
      <c r="K1313" s="57" t="str">
        <f t="shared" si="345"/>
        <v/>
      </c>
      <c r="L1313" s="57">
        <f t="shared" si="345"/>
        <v>1</v>
      </c>
      <c r="M1313" s="57" t="str">
        <f t="shared" si="345"/>
        <v/>
      </c>
      <c r="N1313" s="57" t="str">
        <f t="shared" si="345"/>
        <v/>
      </c>
      <c r="O1313" s="58" t="str">
        <f t="shared" si="345"/>
        <v/>
      </c>
      <c r="P1313" s="59">
        <f>IF(P1312=0,"",P1312/P1310)</f>
        <v>1</v>
      </c>
      <c r="Q1313" s="60"/>
      <c r="R1313" s="18"/>
    </row>
    <row r="1314" spans="2:18" ht="15.75" customHeight="1" x14ac:dyDescent="0.2">
      <c r="B1314" s="168" t="s">
        <v>103</v>
      </c>
      <c r="C1314" s="30" t="s">
        <v>77</v>
      </c>
      <c r="D1314" s="61">
        <f>VLOOKUP($B1304,[1]Complaints!$A$4:$AJ$39,7,)</f>
        <v>0</v>
      </c>
      <c r="E1314" s="43">
        <f>VLOOKUP($B1304,[2]Complaints!$A$4:$AJ$39,7,)</f>
        <v>0</v>
      </c>
      <c r="F1314" s="43">
        <f>VLOOKUP($B1304,[3]Complaints!$A$4:$AJ$39,7,)</f>
        <v>0</v>
      </c>
      <c r="G1314" s="43">
        <f>VLOOKUP($B1304,[4]Complaints!$A$4:$AJ$39,7,)</f>
        <v>1</v>
      </c>
      <c r="H1314" s="43">
        <f>VLOOKUP($B1304,[5]Complaints!$A$4:$AJ$39,7,)</f>
        <v>0</v>
      </c>
      <c r="I1314" s="43">
        <f>VLOOKUP($B1304,[6]Complaints!$A$4:$AJ$39,7,)</f>
        <v>0</v>
      </c>
      <c r="J1314" s="43">
        <f>VLOOKUP($B1304,[7]Complaints!$A$4:$AJ$39,7,)</f>
        <v>0</v>
      </c>
      <c r="K1314" s="43">
        <f>VLOOKUP($B1304,[8]Complaints!$A$4:$AJ$39,7,)</f>
        <v>0</v>
      </c>
      <c r="L1314" s="43">
        <f>VLOOKUP($B1304,[9]Complaints!$A$4:$AJ$39,7,)</f>
        <v>0</v>
      </c>
      <c r="M1314" s="43">
        <f>VLOOKUP($B1304,[10]Complaints!$A$4:$AJ$39,7,)</f>
        <v>0</v>
      </c>
      <c r="N1314" s="43">
        <f>VLOOKUP($B1304,[11]Complaints!$A$4:$AJ$39,7,)</f>
        <v>0</v>
      </c>
      <c r="O1314" s="44">
        <f>VLOOKUP($B1304,[12]Complaints!$A$4:$AJ$39,7,)</f>
        <v>0</v>
      </c>
      <c r="P1314" s="45">
        <f>SUM(D1314:O1314)</f>
        <v>1</v>
      </c>
      <c r="Q1314" s="46">
        <f>IF(P1314=0,"",P1314/$P1306)</f>
        <v>0.125</v>
      </c>
      <c r="R1314" s="18"/>
    </row>
    <row r="1315" spans="2:18" ht="15.75" customHeight="1" x14ac:dyDescent="0.2">
      <c r="B1315" s="169"/>
      <c r="C1315" s="31" t="s">
        <v>89</v>
      </c>
      <c r="D1315" s="47">
        <f>VLOOKUP($B1304,[1]Complaints!$A$4:$AJ$39,8,)</f>
        <v>0</v>
      </c>
      <c r="E1315" s="48">
        <f>VLOOKUP($B1304,[2]Complaints!$A$4:$AJ$39,8,)</f>
        <v>1</v>
      </c>
      <c r="F1315" s="48">
        <f>VLOOKUP($B1304,[3]Complaints!$A$4:$AJ$39,8,)</f>
        <v>0</v>
      </c>
      <c r="G1315" s="48">
        <f>VLOOKUP($B1304,[4]Complaints!$A$4:$AJ$39,8,)</f>
        <v>2</v>
      </c>
      <c r="H1315" s="48">
        <f>VLOOKUP($B1304,[5]Complaints!$A$4:$AJ$39,8,)</f>
        <v>0</v>
      </c>
      <c r="I1315" s="48">
        <f>VLOOKUP($B1304,[6]Complaints!$A$4:$AJ$39,8,)</f>
        <v>0</v>
      </c>
      <c r="J1315" s="48">
        <f>VLOOKUP($B1304,[7]Complaints!$A$4:$AJ$39,8,)</f>
        <v>0</v>
      </c>
      <c r="K1315" s="48">
        <f>VLOOKUP($B1304,[8]Complaints!$A$4:$AJ$39,8,)</f>
        <v>0</v>
      </c>
      <c r="L1315" s="48">
        <f>VLOOKUP($B1304,[9]Complaints!$A$4:$AJ$39,8,)</f>
        <v>1</v>
      </c>
      <c r="M1315" s="48">
        <f>VLOOKUP($B1304,[10]Complaints!$A$4:$AJ$39,8,)</f>
        <v>0</v>
      </c>
      <c r="N1315" s="48">
        <f>VLOOKUP($B1304,[11]Complaints!$A$4:$AJ$39,8,)</f>
        <v>0</v>
      </c>
      <c r="O1315" s="49">
        <f>VLOOKUP($B1304,[12]Complaints!$A$4:$AJ$39,8,)</f>
        <v>0</v>
      </c>
      <c r="P1315" s="55">
        <f t="shared" ref="P1315:P1316" si="346">SUM(D1315:O1315)</f>
        <v>4</v>
      </c>
      <c r="Q1315" s="50">
        <f>IF(P1315="","",P1315/$P1306)</f>
        <v>0.5</v>
      </c>
      <c r="R1315" s="18"/>
    </row>
    <row r="1316" spans="2:18" ht="15.75" customHeight="1" x14ac:dyDescent="0.2">
      <c r="B1316" s="169"/>
      <c r="C1316" s="31" t="s">
        <v>88</v>
      </c>
      <c r="D1316" s="47">
        <f>VLOOKUP($B1304,[1]Complaints!$A$4:$AJ$39,9,)</f>
        <v>0</v>
      </c>
      <c r="E1316" s="48">
        <f>VLOOKUP($B1304,[2]Complaints!$A$4:$AJ$39,9,)</f>
        <v>0</v>
      </c>
      <c r="F1316" s="48">
        <f>VLOOKUP($B1304,[3]Complaints!$A$4:$AJ$39,9,)</f>
        <v>0</v>
      </c>
      <c r="G1316" s="48">
        <f>VLOOKUP($B1304,[4]Complaints!$A$4:$AJ$39,9,)</f>
        <v>0</v>
      </c>
      <c r="H1316" s="48">
        <f>VLOOKUP($B1304,[5]Complaints!$A$4:$AJ$39,9,)</f>
        <v>0</v>
      </c>
      <c r="I1316" s="48">
        <f>VLOOKUP($B1304,[6]Complaints!$A$4:$AJ$39,9,)</f>
        <v>0</v>
      </c>
      <c r="J1316" s="48">
        <f>VLOOKUP($B1304,[7]Complaints!$A$4:$AJ$39,9,)</f>
        <v>0</v>
      </c>
      <c r="K1316" s="48">
        <f>VLOOKUP($B1304,[8]Complaints!$A$4:$AJ$39,9,)</f>
        <v>0</v>
      </c>
      <c r="L1316" s="48">
        <f>VLOOKUP($B1304,[9]Complaints!$A$4:$AJ$39,9,)</f>
        <v>0</v>
      </c>
      <c r="M1316" s="48">
        <f>VLOOKUP($B1304,[10]Complaints!$A$4:$AJ$39,9,)</f>
        <v>0</v>
      </c>
      <c r="N1316" s="48">
        <f>VLOOKUP($B1304,[11]Complaints!$A$4:$AJ$39,9,)</f>
        <v>0</v>
      </c>
      <c r="O1316" s="49">
        <f>VLOOKUP($B1304,[12]Complaints!$A$4:$AJ$39,9,)</f>
        <v>0</v>
      </c>
      <c r="P1316" s="55">
        <f t="shared" si="346"/>
        <v>0</v>
      </c>
      <c r="Q1316" s="50" t="str">
        <f>IF(P1316=0,"",P1316/$P1306)</f>
        <v/>
      </c>
      <c r="R1316" s="18"/>
    </row>
    <row r="1317" spans="2:18" ht="15.75" customHeight="1" x14ac:dyDescent="0.2">
      <c r="B1317" s="169"/>
      <c r="C1317" s="31" t="s">
        <v>13</v>
      </c>
      <c r="D1317" s="47">
        <f>VLOOKUP($B1304,[1]Complaints!$A$4:$AJ$39,10,)</f>
        <v>0</v>
      </c>
      <c r="E1317" s="48">
        <f>VLOOKUP($B1304,[2]Complaints!$A$4:$AJ$39,10,)</f>
        <v>0</v>
      </c>
      <c r="F1317" s="48">
        <f>VLOOKUP($B1304,[3]Complaints!$A$4:$AJ$39,10,)</f>
        <v>0</v>
      </c>
      <c r="G1317" s="48">
        <f>VLOOKUP($B1304,[4]Complaints!$A$4:$AJ$39,10,)</f>
        <v>0</v>
      </c>
      <c r="H1317" s="48">
        <f>VLOOKUP($B1304,[5]Complaints!$A$4:$AJ$39,10,)</f>
        <v>0</v>
      </c>
      <c r="I1317" s="48">
        <f>VLOOKUP($B1304,[6]Complaints!$A$4:$AJ$39,10,)</f>
        <v>1</v>
      </c>
      <c r="J1317" s="48">
        <f>VLOOKUP($B1304,[7]Complaints!$A$4:$AJ$39,10,)</f>
        <v>0</v>
      </c>
      <c r="K1317" s="48">
        <f>VLOOKUP($B1304,[8]Complaints!$A$4:$AJ$39,10,)</f>
        <v>0</v>
      </c>
      <c r="L1317" s="48">
        <f>VLOOKUP($B1304,[9]Complaints!$A$4:$AJ$39,10,)</f>
        <v>0</v>
      </c>
      <c r="M1317" s="48">
        <f>VLOOKUP($B1304,[10]Complaints!$A$4:$AJ$39,10,)</f>
        <v>0</v>
      </c>
      <c r="N1317" s="48">
        <f>VLOOKUP($B1304,[11]Complaints!$A$4:$AJ$39,10,)</f>
        <v>0</v>
      </c>
      <c r="O1317" s="49">
        <f>VLOOKUP($B1304,[12]Complaints!$A$4:$AJ$39,10,)</f>
        <v>0</v>
      </c>
      <c r="P1317" s="55">
        <f>SUM(D1317:O1317)</f>
        <v>1</v>
      </c>
      <c r="Q1317" s="50">
        <f>IF(P1317=0,"",P1317/$P1306)</f>
        <v>0.125</v>
      </c>
      <c r="R1317" s="18"/>
    </row>
    <row r="1318" spans="2:18" ht="15.75" customHeight="1" x14ac:dyDescent="0.2">
      <c r="B1318" s="169"/>
      <c r="C1318" s="31" t="s">
        <v>101</v>
      </c>
      <c r="D1318" s="47">
        <f>VLOOKUP($B1304,[1]Complaints!$A$4:$AJ$39,11,)</f>
        <v>0</v>
      </c>
      <c r="E1318" s="48">
        <f>VLOOKUP($B1304,[2]Complaints!$A$4:$AJ$39,11,)</f>
        <v>0</v>
      </c>
      <c r="F1318" s="48">
        <f>VLOOKUP($B1304,[3]Complaints!$A$4:$AJ$39,11,)</f>
        <v>1</v>
      </c>
      <c r="G1318" s="48">
        <f>VLOOKUP($B1304,[4]Complaints!$A$4:$AJ$39,11,)</f>
        <v>0</v>
      </c>
      <c r="H1318" s="48">
        <f>VLOOKUP($B1304,[5]Complaints!$A$4:$AJ$39,11,)</f>
        <v>0</v>
      </c>
      <c r="I1318" s="48">
        <f>VLOOKUP($B1304,[6]Complaints!$A$4:$AJ$39,11,)</f>
        <v>0</v>
      </c>
      <c r="J1318" s="48">
        <f>VLOOKUP($B1304,[7]Complaints!$A$4:$AJ$39,11,)</f>
        <v>0</v>
      </c>
      <c r="K1318" s="48">
        <f>VLOOKUP($B1304,[8]Complaints!$A$4:$AJ$39,11,)</f>
        <v>0</v>
      </c>
      <c r="L1318" s="48">
        <f>VLOOKUP($B1304,[9]Complaints!$A$4:$AJ$39,11,)</f>
        <v>0</v>
      </c>
      <c r="M1318" s="48">
        <f>VLOOKUP($B1304,[10]Complaints!$A$4:$AJ$39,11,)</f>
        <v>0</v>
      </c>
      <c r="N1318" s="48">
        <f>VLOOKUP($B1304,[11]Complaints!$A$4:$AJ$39,11,)</f>
        <v>0</v>
      </c>
      <c r="O1318" s="49">
        <f>VLOOKUP($B1304,[12]Complaints!$A$4:$AJ$39,11,)</f>
        <v>0</v>
      </c>
      <c r="P1318" s="55">
        <f t="shared" ref="P1318:P1327" si="347">SUM(D1318:O1318)</f>
        <v>1</v>
      </c>
      <c r="Q1318" s="50">
        <f>IF(P1318=0,"",P1318/$P1306)</f>
        <v>0.125</v>
      </c>
      <c r="R1318" s="18"/>
    </row>
    <row r="1319" spans="2:18" s="19" customFormat="1" ht="15.75" customHeight="1" x14ac:dyDescent="0.2">
      <c r="B1319" s="169"/>
      <c r="C1319" s="31" t="s">
        <v>93</v>
      </c>
      <c r="D1319" s="47">
        <f>VLOOKUP($B1304,[1]Complaints!$A$4:$AJ$39,12,)</f>
        <v>0</v>
      </c>
      <c r="E1319" s="48">
        <f>VLOOKUP($B1304,[2]Complaints!$A$4:$AJ$39,12,)</f>
        <v>0</v>
      </c>
      <c r="F1319" s="48">
        <f>VLOOKUP($B1304,[3]Complaints!$A$4:$AJ$39,12,)</f>
        <v>0</v>
      </c>
      <c r="G1319" s="48">
        <f>VLOOKUP($B1304,[4]Complaints!$A$4:$AJ$39,12,)</f>
        <v>0</v>
      </c>
      <c r="H1319" s="48">
        <f>VLOOKUP($B1304,[5]Complaints!$A$4:$AJ$39,12,)</f>
        <v>0</v>
      </c>
      <c r="I1319" s="48">
        <f>VLOOKUP($B1304,[6]Complaints!$A$4:$AJ$39,12,)</f>
        <v>0</v>
      </c>
      <c r="J1319" s="48">
        <f>VLOOKUP($B1304,[7]Complaints!$A$4:$AJ$39,12,)</f>
        <v>0</v>
      </c>
      <c r="K1319" s="48">
        <f>VLOOKUP($B1304,[8]Complaints!$A$4:$AJ$39,12,)</f>
        <v>0</v>
      </c>
      <c r="L1319" s="48">
        <f>VLOOKUP($B1304,[9]Complaints!$A$4:$AJ$39,12,)</f>
        <v>0</v>
      </c>
      <c r="M1319" s="48">
        <f>VLOOKUP($B1304,[10]Complaints!$A$4:$AJ$39,12,)</f>
        <v>0</v>
      </c>
      <c r="N1319" s="48">
        <f>VLOOKUP($B1304,[11]Complaints!$A$4:$AJ$39,12,)</f>
        <v>0</v>
      </c>
      <c r="O1319" s="49">
        <f>VLOOKUP($B1304,[12]Complaints!$A$4:$AJ$39,12,)</f>
        <v>0</v>
      </c>
      <c r="P1319" s="55">
        <f t="shared" si="347"/>
        <v>0</v>
      </c>
      <c r="Q1319" s="50" t="str">
        <f>IF(P1319=0,"",P1319/$P1306)</f>
        <v/>
      </c>
    </row>
    <row r="1320" spans="2:18" ht="15.75" customHeight="1" x14ac:dyDescent="0.2">
      <c r="B1320" s="169"/>
      <c r="C1320" s="31" t="s">
        <v>78</v>
      </c>
      <c r="D1320" s="47">
        <f>VLOOKUP($B1304,[1]Complaints!$A$4:$AJ$39,13,)</f>
        <v>0</v>
      </c>
      <c r="E1320" s="48">
        <f>VLOOKUP($B1304,[2]Complaints!$A$4:$AJ$39,13,)</f>
        <v>0</v>
      </c>
      <c r="F1320" s="48">
        <f>VLOOKUP($B1304,[3]Complaints!$A$4:$AJ$39,13,)</f>
        <v>0</v>
      </c>
      <c r="G1320" s="48">
        <f>VLOOKUP($B1304,[4]Complaints!$A$4:$AJ$39,13,)</f>
        <v>0</v>
      </c>
      <c r="H1320" s="48">
        <f>VLOOKUP($B1304,[5]Complaints!$A$4:$AJ$39,13,)</f>
        <v>0</v>
      </c>
      <c r="I1320" s="48">
        <f>VLOOKUP($B1304,[6]Complaints!$A$4:$AJ$39,13,)</f>
        <v>0</v>
      </c>
      <c r="J1320" s="48">
        <f>VLOOKUP($B1304,[7]Complaints!$A$4:$AJ$39,13,)</f>
        <v>0</v>
      </c>
      <c r="K1320" s="48">
        <f>VLOOKUP($B1304,[8]Complaints!$A$4:$AJ$39,13,)</f>
        <v>0</v>
      </c>
      <c r="L1320" s="48">
        <f>VLOOKUP($B1304,[9]Complaints!$A$4:$AJ$39,13,)</f>
        <v>0</v>
      </c>
      <c r="M1320" s="48">
        <f>VLOOKUP($B1304,[10]Complaints!$A$4:$AJ$39,13,)</f>
        <v>0</v>
      </c>
      <c r="N1320" s="48">
        <f>VLOOKUP($B1304,[11]Complaints!$A$4:$AJ$39,13,)</f>
        <v>0</v>
      </c>
      <c r="O1320" s="49">
        <f>VLOOKUP($B1304,[12]Complaints!$A$4:$AJ$39,13,)</f>
        <v>0</v>
      </c>
      <c r="P1320" s="55">
        <f t="shared" si="347"/>
        <v>0</v>
      </c>
      <c r="Q1320" s="50" t="str">
        <f>IF(P1320=0,"",P1320/$P1306)</f>
        <v/>
      </c>
      <c r="R1320" s="18"/>
    </row>
    <row r="1321" spans="2:18" ht="15.75" customHeight="1" x14ac:dyDescent="0.2">
      <c r="B1321" s="169"/>
      <c r="C1321" s="31" t="s">
        <v>92</v>
      </c>
      <c r="D1321" s="47">
        <f>VLOOKUP($B1304,[1]Complaints!$A$4:$AJ$39,14,)</f>
        <v>0</v>
      </c>
      <c r="E1321" s="48">
        <f>VLOOKUP($B1304,[2]Complaints!$A$4:$AJ$39,14,)</f>
        <v>0</v>
      </c>
      <c r="F1321" s="48">
        <f>VLOOKUP($B1304,[3]Complaints!$A$4:$AJ$39,14,)</f>
        <v>0</v>
      </c>
      <c r="G1321" s="48">
        <f>VLOOKUP($B1304,[4]Complaints!$A$4:$AJ$39,14,)</f>
        <v>0</v>
      </c>
      <c r="H1321" s="48">
        <f>VLOOKUP($B1304,[5]Complaints!$A$4:$AJ$39,14,)</f>
        <v>0</v>
      </c>
      <c r="I1321" s="48">
        <f>VLOOKUP($B1304,[6]Complaints!$A$4:$AJ$39,14,)</f>
        <v>0</v>
      </c>
      <c r="J1321" s="48">
        <f>VLOOKUP($B1304,[7]Complaints!$A$4:$AJ$39,14,)</f>
        <v>0</v>
      </c>
      <c r="K1321" s="48">
        <f>VLOOKUP($B1304,[8]Complaints!$A$4:$AJ$39,14,)</f>
        <v>0</v>
      </c>
      <c r="L1321" s="48">
        <f>VLOOKUP($B1304,[9]Complaints!$A$4:$AJ$39,14,)</f>
        <v>0</v>
      </c>
      <c r="M1321" s="48">
        <f>VLOOKUP($B1304,[10]Complaints!$A$4:$AJ$39,14,)</f>
        <v>0</v>
      </c>
      <c r="N1321" s="48">
        <f>VLOOKUP($B1304,[11]Complaints!$A$4:$AJ$39,14,)</f>
        <v>0</v>
      </c>
      <c r="O1321" s="49">
        <f>VLOOKUP($B1304,[12]Complaints!$A$4:$AJ$39,14,)</f>
        <v>0</v>
      </c>
      <c r="P1321" s="55">
        <f t="shared" si="347"/>
        <v>0</v>
      </c>
      <c r="Q1321" s="50" t="str">
        <f>IF(P1321=0,"",P1321/$P1306)</f>
        <v/>
      </c>
      <c r="R1321" s="18"/>
    </row>
    <row r="1322" spans="2:18" ht="15.75" customHeight="1" x14ac:dyDescent="0.2">
      <c r="B1322" s="169"/>
      <c r="C1322" s="31" t="s">
        <v>91</v>
      </c>
      <c r="D1322" s="47">
        <f>VLOOKUP($B1304,[1]Complaints!$A$4:$AJ$39,15,)</f>
        <v>0</v>
      </c>
      <c r="E1322" s="48">
        <f>VLOOKUP($B1304,[2]Complaints!$A$4:$AJ$39,15,)</f>
        <v>0</v>
      </c>
      <c r="F1322" s="48">
        <f>VLOOKUP($B1304,[3]Complaints!$A$4:$AJ$39,15,)</f>
        <v>1</v>
      </c>
      <c r="G1322" s="48">
        <f>VLOOKUP($B1304,[4]Complaints!$A$4:$AJ$39,15,)</f>
        <v>0</v>
      </c>
      <c r="H1322" s="48">
        <f>VLOOKUP($B1304,[5]Complaints!$A$4:$AJ$39,15,)</f>
        <v>0</v>
      </c>
      <c r="I1322" s="48">
        <f>VLOOKUP($B1304,[6]Complaints!$A$4:$AJ$39,15,)</f>
        <v>0</v>
      </c>
      <c r="J1322" s="48">
        <f>VLOOKUP($B1304,[7]Complaints!$A$4:$AJ$39,15,)</f>
        <v>0</v>
      </c>
      <c r="K1322" s="48">
        <f>VLOOKUP($B1304,[8]Complaints!$A$4:$AJ$39,15,)</f>
        <v>0</v>
      </c>
      <c r="L1322" s="48">
        <f>VLOOKUP($B1304,[9]Complaints!$A$4:$AJ$39,15,)</f>
        <v>0</v>
      </c>
      <c r="M1322" s="48">
        <f>VLOOKUP($B1304,[10]Complaints!$A$4:$AJ$39,15,)</f>
        <v>0</v>
      </c>
      <c r="N1322" s="48">
        <f>VLOOKUP($B1304,[11]Complaints!$A$4:$AJ$39,15,)</f>
        <v>0</v>
      </c>
      <c r="O1322" s="49">
        <f>VLOOKUP($B1304,[12]Complaints!$A$4:$AJ$39,15,)</f>
        <v>0</v>
      </c>
      <c r="P1322" s="55">
        <f t="shared" si="347"/>
        <v>1</v>
      </c>
      <c r="Q1322" s="50">
        <f>IF(P1322=0,"",P1322/$P1306)</f>
        <v>0.125</v>
      </c>
      <c r="R1322" s="18"/>
    </row>
    <row r="1323" spans="2:18" ht="15.75" customHeight="1" x14ac:dyDescent="0.2">
      <c r="B1323" s="169"/>
      <c r="C1323" s="31" t="s">
        <v>79</v>
      </c>
      <c r="D1323" s="47">
        <f>VLOOKUP($B1304,[1]Complaints!$A$4:$AJ$39,16,)</f>
        <v>0</v>
      </c>
      <c r="E1323" s="48">
        <f>VLOOKUP($B1304,[2]Complaints!$A$4:$AJ$39,16,)</f>
        <v>0</v>
      </c>
      <c r="F1323" s="48">
        <f>VLOOKUP($B1304,[3]Complaints!$A$4:$AJ$39,16,)</f>
        <v>0</v>
      </c>
      <c r="G1323" s="48">
        <f>VLOOKUP($B1304,[4]Complaints!$A$4:$AJ$39,16,)</f>
        <v>0</v>
      </c>
      <c r="H1323" s="48">
        <f>VLOOKUP($B1304,[5]Complaints!$A$4:$AJ$39,16,)</f>
        <v>0</v>
      </c>
      <c r="I1323" s="48">
        <f>VLOOKUP($B1304,[6]Complaints!$A$4:$AJ$39,16,)</f>
        <v>0</v>
      </c>
      <c r="J1323" s="48">
        <f>VLOOKUP($B1304,[7]Complaints!$A$4:$AJ$39,16,)</f>
        <v>0</v>
      </c>
      <c r="K1323" s="48">
        <f>VLOOKUP($B1304,[8]Complaints!$A$4:$AJ$39,16,)</f>
        <v>0</v>
      </c>
      <c r="L1323" s="48">
        <f>VLOOKUP($B1304,[9]Complaints!$A$4:$AJ$39,16,)</f>
        <v>0</v>
      </c>
      <c r="M1323" s="48">
        <f>VLOOKUP($B1304,[10]Complaints!$A$4:$AJ$39,16,)</f>
        <v>0</v>
      </c>
      <c r="N1323" s="48">
        <f>VLOOKUP($B1304,[11]Complaints!$A$4:$AJ$39,16,)</f>
        <v>0</v>
      </c>
      <c r="O1323" s="49">
        <f>VLOOKUP($B1304,[12]Complaints!$A$4:$AJ$39,16,)</f>
        <v>0</v>
      </c>
      <c r="P1323" s="55">
        <f t="shared" si="347"/>
        <v>0</v>
      </c>
      <c r="Q1323" s="50" t="str">
        <f>IF(P1323=0,"",P1323/$P1306)</f>
        <v/>
      </c>
      <c r="R1323" s="18"/>
    </row>
    <row r="1324" spans="2:18" ht="15.75" customHeight="1" x14ac:dyDescent="0.2">
      <c r="B1324" s="169"/>
      <c r="C1324" s="31" t="s">
        <v>80</v>
      </c>
      <c r="D1324" s="47">
        <f>VLOOKUP($B1304,[1]Complaints!$A$4:$AJ$39,17,)</f>
        <v>0</v>
      </c>
      <c r="E1324" s="48">
        <f>VLOOKUP($B1304,[2]Complaints!$A$4:$AJ$39,17,)</f>
        <v>0</v>
      </c>
      <c r="F1324" s="48">
        <f>VLOOKUP($B1304,[3]Complaints!$A$4:$AJ$39,17,)</f>
        <v>0</v>
      </c>
      <c r="G1324" s="48">
        <f>VLOOKUP($B1304,[4]Complaints!$A$4:$AJ$39,17,)</f>
        <v>0</v>
      </c>
      <c r="H1324" s="48">
        <f>VLOOKUP($B1304,[5]Complaints!$A$4:$AJ$39,17,)</f>
        <v>0</v>
      </c>
      <c r="I1324" s="48">
        <f>VLOOKUP($B1304,[6]Complaints!$A$4:$AJ$39,17,)</f>
        <v>0</v>
      </c>
      <c r="J1324" s="48">
        <f>VLOOKUP($B1304,[7]Complaints!$A$4:$AJ$39,17,)</f>
        <v>0</v>
      </c>
      <c r="K1324" s="48">
        <f>VLOOKUP($B1304,[8]Complaints!$A$4:$AJ$39,17,)</f>
        <v>0</v>
      </c>
      <c r="L1324" s="48">
        <f>VLOOKUP($B1304,[9]Complaints!$A$4:$AJ$39,17,)</f>
        <v>0</v>
      </c>
      <c r="M1324" s="48">
        <f>VLOOKUP($B1304,[10]Complaints!$A$4:$AJ$39,17,)</f>
        <v>0</v>
      </c>
      <c r="N1324" s="48">
        <f>VLOOKUP($B1304,[11]Complaints!$A$4:$AJ$39,17,)</f>
        <v>0</v>
      </c>
      <c r="O1324" s="49">
        <f>VLOOKUP($B1304,[12]Complaints!$A$4:$AJ$39,17,)</f>
        <v>0</v>
      </c>
      <c r="P1324" s="55">
        <f t="shared" si="347"/>
        <v>0</v>
      </c>
      <c r="Q1324" s="50" t="str">
        <f>IF(P1324=0,"",P1324/$P1306)</f>
        <v/>
      </c>
      <c r="R1324" s="18"/>
    </row>
    <row r="1325" spans="2:18" ht="15.75" customHeight="1" x14ac:dyDescent="0.2">
      <c r="B1325" s="169"/>
      <c r="C1325" s="31" t="s">
        <v>81</v>
      </c>
      <c r="D1325" s="47">
        <f>VLOOKUP($B1304,[1]Complaints!$A$4:$AJ$39,18,)</f>
        <v>0</v>
      </c>
      <c r="E1325" s="48">
        <f>VLOOKUP($B1304,[2]Complaints!$A$4:$AJ$39,18,)</f>
        <v>0</v>
      </c>
      <c r="F1325" s="48">
        <f>VLOOKUP($B1304,[3]Complaints!$A$4:$AJ$39,18,)</f>
        <v>0</v>
      </c>
      <c r="G1325" s="48">
        <f>VLOOKUP($B1304,[4]Complaints!$A$4:$AJ$39,18,)</f>
        <v>0</v>
      </c>
      <c r="H1325" s="48">
        <f>VLOOKUP($B1304,[5]Complaints!$A$4:$AJ$39,18,)</f>
        <v>0</v>
      </c>
      <c r="I1325" s="48">
        <f>VLOOKUP($B1304,[6]Complaints!$A$4:$AJ$39,18,)</f>
        <v>0</v>
      </c>
      <c r="J1325" s="48">
        <f>VLOOKUP($B1304,[7]Complaints!$A$4:$AJ$39,18,)</f>
        <v>0</v>
      </c>
      <c r="K1325" s="48">
        <f>VLOOKUP($B1304,[8]Complaints!$A$4:$AJ$39,18,)</f>
        <v>0</v>
      </c>
      <c r="L1325" s="48">
        <f>VLOOKUP($B1304,[9]Complaints!$A$4:$AJ$39,18,)</f>
        <v>0</v>
      </c>
      <c r="M1325" s="48">
        <f>VLOOKUP($B1304,[10]Complaints!$A$4:$AJ$39,18,)</f>
        <v>0</v>
      </c>
      <c r="N1325" s="48">
        <f>VLOOKUP($B1304,[11]Complaints!$A$4:$AJ$39,18,)</f>
        <v>0</v>
      </c>
      <c r="O1325" s="49">
        <f>VLOOKUP($B1304,[12]Complaints!$A$4:$AJ$39,18,)</f>
        <v>0</v>
      </c>
      <c r="P1325" s="55">
        <f t="shared" si="347"/>
        <v>0</v>
      </c>
      <c r="Q1325" s="50" t="str">
        <f>IF(P1325=0,"",P1325/$P1306)</f>
        <v/>
      </c>
      <c r="R1325" s="18"/>
    </row>
    <row r="1326" spans="2:18" ht="15.75" customHeight="1" x14ac:dyDescent="0.2">
      <c r="B1326" s="169"/>
      <c r="C1326" s="31" t="s">
        <v>82</v>
      </c>
      <c r="D1326" s="47">
        <f>VLOOKUP($B1304,[1]Complaints!$A$4:$AJ$39,19,)</f>
        <v>0</v>
      </c>
      <c r="E1326" s="48">
        <f>VLOOKUP($B1304,[2]Complaints!$A$4:$AJ$39,19,)</f>
        <v>0</v>
      </c>
      <c r="F1326" s="48">
        <f>VLOOKUP($B1304,[3]Complaints!$A$4:$AJ$39,19,)</f>
        <v>0</v>
      </c>
      <c r="G1326" s="48">
        <f>VLOOKUP($B1304,[4]Complaints!$A$4:$AJ$39,19,)</f>
        <v>0</v>
      </c>
      <c r="H1326" s="48">
        <f>VLOOKUP($B1304,[5]Complaints!$A$4:$AJ$39,19,)</f>
        <v>0</v>
      </c>
      <c r="I1326" s="48">
        <f>VLOOKUP($B1304,[6]Complaints!$A$4:$AJ$39,19,)</f>
        <v>0</v>
      </c>
      <c r="J1326" s="48">
        <f>VLOOKUP($B1304,[7]Complaints!$A$4:$AJ$39,19,)</f>
        <v>0</v>
      </c>
      <c r="K1326" s="48">
        <f>VLOOKUP($B1304,[8]Complaints!$A$4:$AJ$39,19,)</f>
        <v>0</v>
      </c>
      <c r="L1326" s="48">
        <f>VLOOKUP($B1304,[9]Complaints!$A$4:$AJ$39,19,)</f>
        <v>0</v>
      </c>
      <c r="M1326" s="48">
        <f>VLOOKUP($B1304,[10]Complaints!$A$4:$AJ$39,19,)</f>
        <v>0</v>
      </c>
      <c r="N1326" s="48">
        <f>VLOOKUP($B1304,[11]Complaints!$A$4:$AJ$39,19,)</f>
        <v>0</v>
      </c>
      <c r="O1326" s="49">
        <f>VLOOKUP($B1304,[12]Complaints!$A$4:$AJ$39,19,)</f>
        <v>0</v>
      </c>
      <c r="P1326" s="55">
        <f t="shared" si="347"/>
        <v>0</v>
      </c>
      <c r="Q1326" s="50" t="str">
        <f>IF(P1326=0,"",P1326/$P1306)</f>
        <v/>
      </c>
      <c r="R1326" s="18"/>
    </row>
    <row r="1327" spans="2:18" ht="15.75" customHeight="1" thickBot="1" x14ac:dyDescent="0.25">
      <c r="B1327" s="170"/>
      <c r="C1327" s="31" t="s">
        <v>83</v>
      </c>
      <c r="D1327" s="47">
        <f>VLOOKUP($B1304,[1]Complaints!$A$4:$AJ$39,20,)</f>
        <v>0</v>
      </c>
      <c r="E1327" s="48">
        <f>VLOOKUP($B1304,[2]Complaints!$A$4:$AJ$39,20,)</f>
        <v>0</v>
      </c>
      <c r="F1327" s="48">
        <f>VLOOKUP($B1304,[3]Complaints!$A$4:$AJ$39,20,)</f>
        <v>0</v>
      </c>
      <c r="G1327" s="48">
        <f>VLOOKUP($B1304,[4]Complaints!$A$4:$AJ$39,20,)</f>
        <v>0</v>
      </c>
      <c r="H1327" s="48">
        <f>VLOOKUP($B1304,[5]Complaints!$A$4:$AJ$39,20,)</f>
        <v>0</v>
      </c>
      <c r="I1327" s="48">
        <f>VLOOKUP($B1304,[6]Complaints!$A$4:$AJ$39,20,)</f>
        <v>0</v>
      </c>
      <c r="J1327" s="48">
        <f>VLOOKUP($B1304,[7]Complaints!$A$4:$AJ$39,20,)</f>
        <v>0</v>
      </c>
      <c r="K1327" s="48">
        <f>VLOOKUP($B1304,[8]Complaints!$A$4:$AJ$39,20,)</f>
        <v>0</v>
      </c>
      <c r="L1327" s="48">
        <f>VLOOKUP($B1304,[9]Complaints!$A$4:$AJ$39,20,)</f>
        <v>0</v>
      </c>
      <c r="M1327" s="48">
        <f>VLOOKUP($B1304,[10]Complaints!$A$4:$AJ$39,20,)</f>
        <v>0</v>
      </c>
      <c r="N1327" s="48">
        <f>VLOOKUP($B1304,[11]Complaints!$A$4:$AJ$39,20,)</f>
        <v>0</v>
      </c>
      <c r="O1327" s="49">
        <f>VLOOKUP($B1304,[12]Complaints!$A$4:$AJ$39,20,)</f>
        <v>0</v>
      </c>
      <c r="P1327" s="55">
        <f t="shared" si="347"/>
        <v>0</v>
      </c>
      <c r="Q1327" s="50" t="str">
        <f>IF(P1327=0,"",P1327/$P1306)</f>
        <v/>
      </c>
      <c r="R1327" s="18"/>
    </row>
    <row r="1328" spans="2:18" ht="15.75" customHeight="1" x14ac:dyDescent="0.2">
      <c r="B1328" s="144" t="s">
        <v>90</v>
      </c>
      <c r="C1328" s="37" t="s">
        <v>118</v>
      </c>
      <c r="D1328" s="62">
        <f>VLOOKUP($B1304,[1]Complaints!$A$4:$AJ$39,21,)</f>
        <v>0</v>
      </c>
      <c r="E1328" s="63">
        <f>VLOOKUP($B1304,[2]Complaints!$A$4:$AJ$39,21,)</f>
        <v>1</v>
      </c>
      <c r="F1328" s="63">
        <f>VLOOKUP($B1304,[3]Complaints!$A$4:$AJ$39,21,)</f>
        <v>1</v>
      </c>
      <c r="G1328" s="63">
        <f>VLOOKUP($B1304,[4]Complaints!$A$4:$AJ$39,21,)</f>
        <v>3</v>
      </c>
      <c r="H1328" s="63">
        <f>VLOOKUP($B1304,[5]Complaints!$A$4:$AJ$39,21,)</f>
        <v>0</v>
      </c>
      <c r="I1328" s="63">
        <f>VLOOKUP($B1304,[6]Complaints!$A$4:$AJ$39,21,)</f>
        <v>1</v>
      </c>
      <c r="J1328" s="63">
        <f>VLOOKUP($B1304,[7]Complaints!$A$4:$AJ$39,21,)</f>
        <v>0</v>
      </c>
      <c r="K1328" s="63">
        <f>VLOOKUP($B1304,[8]Complaints!$A$4:$AJ$39,21,)</f>
        <v>0</v>
      </c>
      <c r="L1328" s="63">
        <f>VLOOKUP($B1304,[9]Complaints!$A$4:$AJ$39,21,)</f>
        <v>1</v>
      </c>
      <c r="M1328" s="63">
        <f>VLOOKUP($B1304,[10]Complaints!$A$4:$AJ$39,21,)</f>
        <v>0</v>
      </c>
      <c r="N1328" s="63">
        <f>VLOOKUP($B1304,[11]Complaints!$A$4:$AJ$39,21,)</f>
        <v>0</v>
      </c>
      <c r="O1328" s="64">
        <f>VLOOKUP($B1304,[12]Complaints!$A$4:$AJ$39,21,)</f>
        <v>0</v>
      </c>
      <c r="P1328" s="65">
        <f>SUM(D1328:O1328)</f>
        <v>7</v>
      </c>
      <c r="Q1328" s="46">
        <f>IF(P1328=0,"",P1328/$P1312)</f>
        <v>1.1666666666666667</v>
      </c>
      <c r="R1328" s="18"/>
    </row>
    <row r="1329" spans="1:19" ht="15.75" customHeight="1" x14ac:dyDescent="0.2">
      <c r="B1329" s="145"/>
      <c r="C1329" s="38" t="s">
        <v>77</v>
      </c>
      <c r="D1329" s="66">
        <f>VLOOKUP($B1304,[1]Complaints!$A$4:$AJ$39,22,)</f>
        <v>0</v>
      </c>
      <c r="E1329" s="67">
        <f>VLOOKUP($B1304,[2]Complaints!$A$4:$AJ$39,22,)</f>
        <v>0</v>
      </c>
      <c r="F1329" s="67">
        <f>VLOOKUP($B1304,[3]Complaints!$A$4:$AJ$39,22,)</f>
        <v>0</v>
      </c>
      <c r="G1329" s="67">
        <f>VLOOKUP($B1304,[4]Complaints!$A$4:$AJ$39,22,)</f>
        <v>1</v>
      </c>
      <c r="H1329" s="67">
        <f>VLOOKUP($B1304,[5]Complaints!$A$4:$AJ$39,22,)</f>
        <v>0</v>
      </c>
      <c r="I1329" s="67">
        <f>VLOOKUP($B1304,[6]Complaints!$A$4:$AJ$39,22,)</f>
        <v>0</v>
      </c>
      <c r="J1329" s="67">
        <f>VLOOKUP($B1304,[7]Complaints!$A$4:$AJ$39,22,)</f>
        <v>0</v>
      </c>
      <c r="K1329" s="67">
        <f>VLOOKUP($B1304,[8]Complaints!$A$4:$AJ$39,22,)</f>
        <v>0</v>
      </c>
      <c r="L1329" s="67">
        <f>VLOOKUP($B1304,[9]Complaints!$A$4:$AJ$39,22,)</f>
        <v>0</v>
      </c>
      <c r="M1329" s="67">
        <f>VLOOKUP($B1304,[10]Complaints!$A$4:$AJ$39,22,)</f>
        <v>0</v>
      </c>
      <c r="N1329" s="67">
        <f>VLOOKUP($B1304,[11]Complaints!$A$4:$AJ$39,22,)</f>
        <v>0</v>
      </c>
      <c r="O1329" s="68">
        <f>VLOOKUP($B1304,[12]Complaints!$A$4:$AJ$39,22,)</f>
        <v>0</v>
      </c>
      <c r="P1329" s="69">
        <f t="shared" ref="P1329:P1343" si="348">SUM(D1329:O1329)</f>
        <v>1</v>
      </c>
      <c r="Q1329" s="70">
        <f>IF(P1329=0,"",P1329/$P1312)</f>
        <v>0.16666666666666666</v>
      </c>
      <c r="R1329" s="18"/>
    </row>
    <row r="1330" spans="1:19" ht="15.75" customHeight="1" x14ac:dyDescent="0.2">
      <c r="B1330" s="145"/>
      <c r="C1330" s="38" t="s">
        <v>108</v>
      </c>
      <c r="D1330" s="66">
        <f>VLOOKUP($B1304,[1]Complaints!$A$4:$AJ$39,23,)</f>
        <v>0</v>
      </c>
      <c r="E1330" s="67">
        <f>VLOOKUP($B1304,[2]Complaints!$A$4:$AJ$39,23,)</f>
        <v>1</v>
      </c>
      <c r="F1330" s="67">
        <f>VLOOKUP($B1304,[3]Complaints!$A$4:$AJ$39,23,)</f>
        <v>0</v>
      </c>
      <c r="G1330" s="67">
        <f>VLOOKUP($B1304,[4]Complaints!$A$4:$AJ$39,23,)</f>
        <v>2</v>
      </c>
      <c r="H1330" s="67">
        <f>VLOOKUP($B1304,[5]Complaints!$A$4:$AJ$39,23,)</f>
        <v>0</v>
      </c>
      <c r="I1330" s="67">
        <f>VLOOKUP($B1304,[6]Complaints!$A$4:$AJ$39,23,)</f>
        <v>0</v>
      </c>
      <c r="J1330" s="67">
        <f>VLOOKUP($B1304,[7]Complaints!$A$4:$AJ$39,23,)</f>
        <v>0</v>
      </c>
      <c r="K1330" s="67">
        <f>VLOOKUP($B1304,[8]Complaints!$A$4:$AJ$39,23,)</f>
        <v>0</v>
      </c>
      <c r="L1330" s="67">
        <f>VLOOKUP($B1304,[9]Complaints!$A$4:$AJ$39,23,)</f>
        <v>1</v>
      </c>
      <c r="M1330" s="67">
        <f>VLOOKUP($B1304,[10]Complaints!$A$4:$AJ$39,23,)</f>
        <v>0</v>
      </c>
      <c r="N1330" s="67">
        <f>VLOOKUP($B1304,[11]Complaints!$A$4:$AJ$39,23,)</f>
        <v>0</v>
      </c>
      <c r="O1330" s="68">
        <f>VLOOKUP($B1304,[12]Complaints!$A$4:$AJ$39,23,)</f>
        <v>0</v>
      </c>
      <c r="P1330" s="69">
        <f t="shared" si="348"/>
        <v>4</v>
      </c>
      <c r="Q1330" s="70">
        <f>IF(P1330=0,"",P1330/$P1312)</f>
        <v>0.66666666666666663</v>
      </c>
      <c r="R1330" s="18"/>
    </row>
    <row r="1331" spans="1:19" ht="15.75" customHeight="1" x14ac:dyDescent="0.2">
      <c r="B1331" s="145"/>
      <c r="C1331" s="38" t="s">
        <v>88</v>
      </c>
      <c r="D1331" s="66">
        <f>VLOOKUP($B1304,[1]Complaints!$A$4:$AJ$39,24,)</f>
        <v>0</v>
      </c>
      <c r="E1331" s="67">
        <f>VLOOKUP($B1304,[2]Complaints!$A$4:$AJ$39,24,)</f>
        <v>0</v>
      </c>
      <c r="F1331" s="67">
        <f>VLOOKUP($B1304,[3]Complaints!$A$4:$AJ$39,24,)</f>
        <v>0</v>
      </c>
      <c r="G1331" s="67">
        <f>VLOOKUP($B1304,[4]Complaints!$A$4:$AJ$39,24,)</f>
        <v>0</v>
      </c>
      <c r="H1331" s="67">
        <f>VLOOKUP($B1304,[5]Complaints!$A$4:$AJ$39,24,)</f>
        <v>0</v>
      </c>
      <c r="I1331" s="67">
        <f>VLOOKUP($B1304,[6]Complaints!$A$4:$AJ$39,24,)</f>
        <v>0</v>
      </c>
      <c r="J1331" s="67">
        <f>VLOOKUP($B1304,[7]Complaints!$A$4:$AJ$39,24,)</f>
        <v>0</v>
      </c>
      <c r="K1331" s="67">
        <f>VLOOKUP($B1304,[8]Complaints!$A$4:$AJ$39,24,)</f>
        <v>0</v>
      </c>
      <c r="L1331" s="67">
        <f>VLOOKUP($B1304,[9]Complaints!$A$4:$AJ$39,24,)</f>
        <v>0</v>
      </c>
      <c r="M1331" s="67">
        <f>VLOOKUP($B1304,[10]Complaints!$A$4:$AJ$39,24,)</f>
        <v>0</v>
      </c>
      <c r="N1331" s="67">
        <f>VLOOKUP($B1304,[11]Complaints!$A$4:$AJ$39,24,)</f>
        <v>0</v>
      </c>
      <c r="O1331" s="68">
        <f>VLOOKUP($B1304,[12]Complaints!$A$4:$AJ$39,24,)</f>
        <v>0</v>
      </c>
      <c r="P1331" s="69">
        <f t="shared" si="348"/>
        <v>0</v>
      </c>
      <c r="Q1331" s="70" t="str">
        <f>IF(P1331=0,"",P1331/$P1312)</f>
        <v/>
      </c>
      <c r="R1331" s="18"/>
    </row>
    <row r="1332" spans="1:19" ht="15.75" customHeight="1" x14ac:dyDescent="0.2">
      <c r="B1332" s="145"/>
      <c r="C1332" s="38" t="s">
        <v>109</v>
      </c>
      <c r="D1332" s="66">
        <f>VLOOKUP($B1304,[1]Complaints!$A$4:$AJ$39,25,)</f>
        <v>0</v>
      </c>
      <c r="E1332" s="67">
        <f>VLOOKUP($B1304,[2]Complaints!$A$4:$AJ$39,25,)</f>
        <v>0</v>
      </c>
      <c r="F1332" s="67">
        <f>VLOOKUP($B1304,[3]Complaints!$A$4:$AJ$39,25,)</f>
        <v>0</v>
      </c>
      <c r="G1332" s="67">
        <f>VLOOKUP($B1304,[4]Complaints!$A$4:$AJ$39,25,)</f>
        <v>0</v>
      </c>
      <c r="H1332" s="67">
        <f>VLOOKUP($B1304,[5]Complaints!$A$4:$AJ$39,25,)</f>
        <v>0</v>
      </c>
      <c r="I1332" s="67">
        <f>VLOOKUP($B1304,[6]Complaints!$A$4:$AJ$39,25,)</f>
        <v>0</v>
      </c>
      <c r="J1332" s="67">
        <f>VLOOKUP($B1304,[7]Complaints!$A$4:$AJ$39,25,)</f>
        <v>0</v>
      </c>
      <c r="K1332" s="67">
        <f>VLOOKUP($B1304,[8]Complaints!$A$4:$AJ$39,25,)</f>
        <v>0</v>
      </c>
      <c r="L1332" s="67">
        <f>VLOOKUP($B1304,[9]Complaints!$A$4:$AJ$39,25,)</f>
        <v>0</v>
      </c>
      <c r="M1332" s="67">
        <f>VLOOKUP($B1304,[10]Complaints!$A$4:$AJ$39,25,)</f>
        <v>0</v>
      </c>
      <c r="N1332" s="67">
        <f>VLOOKUP($B1304,[11]Complaints!$A$4:$AJ$39,25,)</f>
        <v>0</v>
      </c>
      <c r="O1332" s="68">
        <f>VLOOKUP($B1304,[12]Complaints!$A$4:$AJ$39,25,)</f>
        <v>0</v>
      </c>
      <c r="P1332" s="69">
        <f t="shared" si="348"/>
        <v>0</v>
      </c>
      <c r="Q1332" s="70" t="str">
        <f>IF(P1332=0,"",P1332/$P1312)</f>
        <v/>
      </c>
      <c r="R1332" s="18"/>
    </row>
    <row r="1333" spans="1:19" ht="15.75" customHeight="1" x14ac:dyDescent="0.2">
      <c r="A1333" s="21"/>
      <c r="B1333" s="145"/>
      <c r="C1333" s="38" t="s">
        <v>110</v>
      </c>
      <c r="D1333" s="66">
        <f>VLOOKUP($B1304,[1]Complaints!$A$4:$AJ$39,26,)</f>
        <v>0</v>
      </c>
      <c r="E1333" s="67">
        <f>VLOOKUP($B1304,[2]Complaints!$A$4:$AJ$39,26,)</f>
        <v>0</v>
      </c>
      <c r="F1333" s="67">
        <f>VLOOKUP($B1304,[3]Complaints!$A$4:$AJ$39,26,)</f>
        <v>0</v>
      </c>
      <c r="G1333" s="67">
        <f>VLOOKUP($B1304,[4]Complaints!$A$4:$AJ$39,26,)</f>
        <v>0</v>
      </c>
      <c r="H1333" s="67">
        <f>VLOOKUP($B1304,[5]Complaints!$A$4:$AJ$39,26,)</f>
        <v>0</v>
      </c>
      <c r="I1333" s="67">
        <f>VLOOKUP($B1304,[6]Complaints!$A$4:$AJ$39,26,)</f>
        <v>1</v>
      </c>
      <c r="J1333" s="67">
        <f>VLOOKUP($B1304,[7]Complaints!$A$4:$AJ$39,26,)</f>
        <v>0</v>
      </c>
      <c r="K1333" s="67">
        <f>VLOOKUP($B1304,[8]Complaints!$A$4:$AJ$39,26,)</f>
        <v>0</v>
      </c>
      <c r="L1333" s="67">
        <f>VLOOKUP($B1304,[9]Complaints!$A$4:$AJ$39,26,)</f>
        <v>0</v>
      </c>
      <c r="M1333" s="67">
        <f>VLOOKUP($B1304,[10]Complaints!$A$4:$AJ$39,26,)</f>
        <v>0</v>
      </c>
      <c r="N1333" s="67">
        <f>VLOOKUP($B1304,[11]Complaints!$A$4:$AJ$39,26,)</f>
        <v>0</v>
      </c>
      <c r="O1333" s="68">
        <f>VLOOKUP($B1304,[12]Complaints!$A$4:$AJ$39,26,)</f>
        <v>0</v>
      </c>
      <c r="P1333" s="69">
        <f t="shared" si="348"/>
        <v>1</v>
      </c>
      <c r="Q1333" s="70">
        <f>IF(P1333=0,"",P1333/$P1312)</f>
        <v>0.16666666666666666</v>
      </c>
      <c r="R1333" s="18"/>
    </row>
    <row r="1334" spans="1:19" s="21" customFormat="1" ht="15.75" customHeight="1" x14ac:dyDescent="0.2">
      <c r="B1334" s="145"/>
      <c r="C1334" s="39" t="s">
        <v>107</v>
      </c>
      <c r="D1334" s="71">
        <f>VLOOKUP($B1304,[1]Complaints!$A$4:$AJ$39,27,)</f>
        <v>0</v>
      </c>
      <c r="E1334" s="72">
        <f>VLOOKUP($B1304,[2]Complaints!$A$4:$AJ$39,27,)</f>
        <v>0</v>
      </c>
      <c r="F1334" s="72">
        <f>VLOOKUP($B1304,[3]Complaints!$A$4:$AJ$39,27,)</f>
        <v>1</v>
      </c>
      <c r="G1334" s="72">
        <f>VLOOKUP($B1304,[4]Complaints!$A$4:$AJ$39,27,)</f>
        <v>0</v>
      </c>
      <c r="H1334" s="72">
        <f>VLOOKUP($B1304,[5]Complaints!$A$4:$AJ$39,27,)</f>
        <v>0</v>
      </c>
      <c r="I1334" s="72">
        <f>VLOOKUP($B1304,[6]Complaints!$A$4:$AJ$39,27,)</f>
        <v>0</v>
      </c>
      <c r="J1334" s="72">
        <f>VLOOKUP($B1304,[7]Complaints!$A$4:$AJ$39,27,)</f>
        <v>0</v>
      </c>
      <c r="K1334" s="72">
        <f>VLOOKUP($B1304,[8]Complaints!$A$4:$AJ$39,27,)</f>
        <v>0</v>
      </c>
      <c r="L1334" s="72">
        <f>VLOOKUP($B1304,[9]Complaints!$A$4:$AJ$39,27,)</f>
        <v>0</v>
      </c>
      <c r="M1334" s="72">
        <f>VLOOKUP($B1304,[10]Complaints!$A$4:$AJ$39,27,)</f>
        <v>0</v>
      </c>
      <c r="N1334" s="72">
        <f>VLOOKUP($B1304,[11]Complaints!$A$4:$AJ$39,27,)</f>
        <v>0</v>
      </c>
      <c r="O1334" s="73">
        <f>VLOOKUP($B1304,[12]Complaints!$A$4:$AJ$39,27,)</f>
        <v>0</v>
      </c>
      <c r="P1334" s="69">
        <f t="shared" si="348"/>
        <v>1</v>
      </c>
      <c r="Q1334" s="70">
        <f>IF(P1334=0,"",P1334/$P1312)</f>
        <v>0.16666666666666666</v>
      </c>
      <c r="S1334" s="18"/>
    </row>
    <row r="1335" spans="1:19" ht="15.75" customHeight="1" x14ac:dyDescent="0.2">
      <c r="B1335" s="145"/>
      <c r="C1335" s="39" t="s">
        <v>87</v>
      </c>
      <c r="D1335" s="71">
        <f>VLOOKUP($B1304,[1]Complaints!$A$4:$AJ$39,28,)</f>
        <v>0</v>
      </c>
      <c r="E1335" s="72">
        <f>VLOOKUP($B1304,[2]Complaints!$A$4:$AJ$39,28,)</f>
        <v>0</v>
      </c>
      <c r="F1335" s="72">
        <f>VLOOKUP($B1304,[3]Complaints!$A$4:$AJ$39,28,)</f>
        <v>0</v>
      </c>
      <c r="G1335" s="72">
        <f>VLOOKUP($B1304,[4]Complaints!$A$4:$AJ$39,28,)</f>
        <v>0</v>
      </c>
      <c r="H1335" s="72">
        <f>VLOOKUP($B1304,[5]Complaints!$A$4:$AJ$39,28,)</f>
        <v>0</v>
      </c>
      <c r="I1335" s="72">
        <f>VLOOKUP($B1304,[6]Complaints!$A$4:$AJ$39,28,)</f>
        <v>0</v>
      </c>
      <c r="J1335" s="72">
        <f>VLOOKUP($B1304,[7]Complaints!$A$4:$AJ$39,28,)</f>
        <v>0</v>
      </c>
      <c r="K1335" s="72">
        <f>VLOOKUP($B1304,[8]Complaints!$A$4:$AJ$39,28,)</f>
        <v>0</v>
      </c>
      <c r="L1335" s="72">
        <f>VLOOKUP($B1304,[9]Complaints!$A$4:$AJ$39,28,)</f>
        <v>0</v>
      </c>
      <c r="M1335" s="72">
        <f>VLOOKUP($B1304,[10]Complaints!$A$4:$AJ$39,28,)</f>
        <v>0</v>
      </c>
      <c r="N1335" s="72">
        <f>VLOOKUP($B1304,[11]Complaints!$A$4:$AJ$39,28,)</f>
        <v>0</v>
      </c>
      <c r="O1335" s="73">
        <f>VLOOKUP($B1304,[12]Complaints!$A$4:$AJ$39,28,)</f>
        <v>0</v>
      </c>
      <c r="P1335" s="69">
        <f t="shared" si="348"/>
        <v>0</v>
      </c>
      <c r="Q1335" s="70" t="str">
        <f>IF(P1335=0,"",P1335/$P1312)</f>
        <v/>
      </c>
      <c r="R1335" s="18"/>
    </row>
    <row r="1336" spans="1:19" ht="15.75" customHeight="1" x14ac:dyDescent="0.2">
      <c r="B1336" s="145"/>
      <c r="C1336" s="38" t="s">
        <v>111</v>
      </c>
      <c r="D1336" s="66">
        <f>VLOOKUP($B1304,[1]Complaints!$A$4:$AJ$39,29,)</f>
        <v>0</v>
      </c>
      <c r="E1336" s="67">
        <f>VLOOKUP($B1304,[2]Complaints!$A$4:$AJ$39,29,)</f>
        <v>0</v>
      </c>
      <c r="F1336" s="67">
        <f>VLOOKUP($B1304,[3]Complaints!$A$4:$AJ$39,29,)</f>
        <v>0</v>
      </c>
      <c r="G1336" s="67">
        <f>VLOOKUP($B1304,[4]Complaints!$A$4:$AJ$39,29,)</f>
        <v>0</v>
      </c>
      <c r="H1336" s="67">
        <f>VLOOKUP($B1304,[5]Complaints!$A$4:$AJ$39,29,)</f>
        <v>0</v>
      </c>
      <c r="I1336" s="67">
        <f>VLOOKUP($B1304,[6]Complaints!$A$4:$AJ$39,29,)</f>
        <v>0</v>
      </c>
      <c r="J1336" s="67">
        <f>VLOOKUP($B1304,[7]Complaints!$A$4:$AJ$39,29,)</f>
        <v>0</v>
      </c>
      <c r="K1336" s="67">
        <f>VLOOKUP($B1304,[8]Complaints!$A$4:$AJ$39,29,)</f>
        <v>0</v>
      </c>
      <c r="L1336" s="67">
        <f>VLOOKUP($B1304,[9]Complaints!$A$4:$AJ$39,29,)</f>
        <v>0</v>
      </c>
      <c r="M1336" s="67">
        <f>VLOOKUP($B1304,[10]Complaints!$A$4:$AJ$39,29,)</f>
        <v>0</v>
      </c>
      <c r="N1336" s="67">
        <f>VLOOKUP($B1304,[11]Complaints!$A$4:$AJ$39,29,)</f>
        <v>0</v>
      </c>
      <c r="O1336" s="68">
        <f>VLOOKUP($B1304,[12]Complaints!$A$4:$AJ$39,29,)</f>
        <v>0</v>
      </c>
      <c r="P1336" s="69">
        <f t="shared" si="348"/>
        <v>0</v>
      </c>
      <c r="Q1336" s="70" t="str">
        <f>IF(P1336=0,"",P1336/$P1312)</f>
        <v/>
      </c>
      <c r="R1336" s="18"/>
    </row>
    <row r="1337" spans="1:19" ht="15.75" customHeight="1" x14ac:dyDescent="0.2">
      <c r="B1337" s="145"/>
      <c r="C1337" s="38" t="s">
        <v>112</v>
      </c>
      <c r="D1337" s="66">
        <f>VLOOKUP($B1304,[1]Complaints!$A$4:$AJ$39,30,)</f>
        <v>0</v>
      </c>
      <c r="E1337" s="67">
        <f>VLOOKUP($B1304,[2]Complaints!$A$4:$AJ$39,30,)</f>
        <v>0</v>
      </c>
      <c r="F1337" s="67">
        <f>VLOOKUP($B1304,[3]Complaints!$A$4:$AJ$39,30,)</f>
        <v>0</v>
      </c>
      <c r="G1337" s="67">
        <f>VLOOKUP($B1304,[4]Complaints!$A$4:$AJ$39,30,)</f>
        <v>0</v>
      </c>
      <c r="H1337" s="67">
        <f>VLOOKUP($B1304,[5]Complaints!$A$4:$AJ$39,30,)</f>
        <v>0</v>
      </c>
      <c r="I1337" s="67">
        <f>VLOOKUP($B1304,[6]Complaints!$A$4:$AJ$39,30,)</f>
        <v>0</v>
      </c>
      <c r="J1337" s="67">
        <f>VLOOKUP($B1304,[7]Complaints!$A$4:$AJ$39,30,)</f>
        <v>0</v>
      </c>
      <c r="K1337" s="67">
        <f>VLOOKUP($B1304,[8]Complaints!$A$4:$AJ$39,30,)</f>
        <v>0</v>
      </c>
      <c r="L1337" s="67">
        <f>VLOOKUP($B1304,[9]Complaints!$A$4:$AJ$39,30,)</f>
        <v>0</v>
      </c>
      <c r="M1337" s="67">
        <f>VLOOKUP($B1304,[10]Complaints!$A$4:$AJ$39,30,)</f>
        <v>0</v>
      </c>
      <c r="N1337" s="67">
        <f>VLOOKUP($B1304,[11]Complaints!$A$4:$AJ$39,30,)</f>
        <v>0</v>
      </c>
      <c r="O1337" s="68">
        <f>VLOOKUP($B1304,[12]Complaints!$A$4:$AJ$39,30,)</f>
        <v>0</v>
      </c>
      <c r="P1337" s="69">
        <f t="shared" si="348"/>
        <v>0</v>
      </c>
      <c r="Q1337" s="70" t="str">
        <f>IF(P1337=0,"",P1337/$P1312)</f>
        <v/>
      </c>
      <c r="R1337" s="18"/>
    </row>
    <row r="1338" spans="1:19" ht="15.75" customHeight="1" x14ac:dyDescent="0.2">
      <c r="B1338" s="146"/>
      <c r="C1338" s="40" t="s">
        <v>119</v>
      </c>
      <c r="D1338" s="74">
        <f>VLOOKUP($B1304,[1]Complaints!$A$4:$AJ$39,31,)</f>
        <v>0</v>
      </c>
      <c r="E1338" s="75">
        <f>VLOOKUP($B1304,[2]Complaints!$A$4:$AJ$39,31,)</f>
        <v>0</v>
      </c>
      <c r="F1338" s="75">
        <f>VLOOKUP($B1304,[3]Complaints!$A$4:$AJ$39,31,)</f>
        <v>0</v>
      </c>
      <c r="G1338" s="75">
        <f>VLOOKUP($B1304,[4]Complaints!$A$4:$AJ$39,31,)</f>
        <v>0</v>
      </c>
      <c r="H1338" s="75">
        <f>VLOOKUP($B1304,[5]Complaints!$A$4:$AJ$39,31,)</f>
        <v>0</v>
      </c>
      <c r="I1338" s="75">
        <f>VLOOKUP($B1304,[6]Complaints!$A$4:$AJ$39,31,)</f>
        <v>0</v>
      </c>
      <c r="J1338" s="75">
        <f>VLOOKUP($B1304,[7]Complaints!$A$4:$AJ$39,31,)</f>
        <v>0</v>
      </c>
      <c r="K1338" s="75">
        <f>VLOOKUP($B1304,[8]Complaints!$A$4:$AJ$39,31,)</f>
        <v>0</v>
      </c>
      <c r="L1338" s="75">
        <f>VLOOKUP($B1304,[9]Complaints!$A$4:$AJ$39,31,)</f>
        <v>0</v>
      </c>
      <c r="M1338" s="75">
        <f>VLOOKUP($B1304,[10]Complaints!$A$4:$AJ$39,31,)</f>
        <v>0</v>
      </c>
      <c r="N1338" s="75">
        <f>VLOOKUP($B1304,[11]Complaints!$A$4:$AJ$39,31,)</f>
        <v>0</v>
      </c>
      <c r="O1338" s="76">
        <f>VLOOKUP($B1304,[12]Complaints!$A$4:$AJ$39,31,)</f>
        <v>0</v>
      </c>
      <c r="P1338" s="77">
        <f t="shared" si="348"/>
        <v>0</v>
      </c>
      <c r="Q1338" s="50" t="str">
        <f>IF(P1338=0,"",P1338/$P1312)</f>
        <v/>
      </c>
      <c r="R1338" s="18"/>
    </row>
    <row r="1339" spans="1:19" ht="15.75" customHeight="1" x14ac:dyDescent="0.2">
      <c r="B1339" s="146"/>
      <c r="C1339" s="38" t="s">
        <v>113</v>
      </c>
      <c r="D1339" s="66">
        <f>VLOOKUP($B1304,[1]Complaints!$A$4:$AJ$39,32,)</f>
        <v>0</v>
      </c>
      <c r="E1339" s="67">
        <f>VLOOKUP($B1304,[2]Complaints!$A$4:$AJ$39,32,)</f>
        <v>0</v>
      </c>
      <c r="F1339" s="67">
        <f>VLOOKUP($B1304,[3]Complaints!$A$4:$AJ$39,32,)</f>
        <v>0</v>
      </c>
      <c r="G1339" s="67">
        <f>VLOOKUP($B1304,[4]Complaints!$A$4:$AJ$39,32,)</f>
        <v>0</v>
      </c>
      <c r="H1339" s="67">
        <f>VLOOKUP($B1304,[5]Complaints!$A$4:$AJ$39,32,)</f>
        <v>0</v>
      </c>
      <c r="I1339" s="67">
        <f>VLOOKUP($B1304,[6]Complaints!$A$4:$AJ$39,32,)</f>
        <v>0</v>
      </c>
      <c r="J1339" s="67">
        <f>VLOOKUP($B1304,[7]Complaints!$A$4:$AJ$39,32,)</f>
        <v>0</v>
      </c>
      <c r="K1339" s="67">
        <f>VLOOKUP($B1304,[8]Complaints!$A$4:$AJ$39,32,)</f>
        <v>0</v>
      </c>
      <c r="L1339" s="67">
        <f>VLOOKUP($B1304,[9]Complaints!$A$4:$AJ$39,32,)</f>
        <v>0</v>
      </c>
      <c r="M1339" s="67">
        <f>VLOOKUP($B1304,[10]Complaints!$A$4:$AJ$39,32,)</f>
        <v>0</v>
      </c>
      <c r="N1339" s="67">
        <f>VLOOKUP($B1304,[11]Complaints!$A$4:$AJ$39,32,)</f>
        <v>0</v>
      </c>
      <c r="O1339" s="68">
        <f>VLOOKUP($B1304,[12]Complaints!$A$4:$AJ$39,32,)</f>
        <v>0</v>
      </c>
      <c r="P1339" s="69">
        <f t="shared" si="348"/>
        <v>0</v>
      </c>
      <c r="Q1339" s="70" t="str">
        <f>IF(P1339=0,"",P1339/$P1312)</f>
        <v/>
      </c>
      <c r="R1339" s="18"/>
    </row>
    <row r="1340" spans="1:19" ht="15.75" customHeight="1" x14ac:dyDescent="0.2">
      <c r="B1340" s="146"/>
      <c r="C1340" s="38" t="s">
        <v>114</v>
      </c>
      <c r="D1340" s="66">
        <f>VLOOKUP($B1304,[1]Complaints!$A$4:$AJ$39,33,)</f>
        <v>0</v>
      </c>
      <c r="E1340" s="67">
        <f>VLOOKUP($B1304,[2]Complaints!$A$4:$AJ$39,33,)</f>
        <v>0</v>
      </c>
      <c r="F1340" s="67">
        <f>VLOOKUP($B1304,[3]Complaints!$A$4:$AJ$39,33,)</f>
        <v>0</v>
      </c>
      <c r="G1340" s="67">
        <f>VLOOKUP($B1304,[4]Complaints!$A$4:$AJ$39,33,)</f>
        <v>0</v>
      </c>
      <c r="H1340" s="67">
        <f>VLOOKUP($B1304,[5]Complaints!$A$4:$AJ$39,33,)</f>
        <v>0</v>
      </c>
      <c r="I1340" s="67">
        <f>VLOOKUP($B1304,[6]Complaints!$A$4:$AJ$39,33,)</f>
        <v>0</v>
      </c>
      <c r="J1340" s="67">
        <f>VLOOKUP($B1304,[7]Complaints!$A$4:$AJ$39,33,)</f>
        <v>0</v>
      </c>
      <c r="K1340" s="67">
        <f>VLOOKUP($B1304,[8]Complaints!$A$4:$AJ$39,33,)</f>
        <v>0</v>
      </c>
      <c r="L1340" s="67">
        <f>VLOOKUP($B1304,[9]Complaints!$A$4:$AJ$39,33,)</f>
        <v>0</v>
      </c>
      <c r="M1340" s="67">
        <f>VLOOKUP($B1304,[10]Complaints!$A$4:$AJ$39,33,)</f>
        <v>0</v>
      </c>
      <c r="N1340" s="67">
        <f>VLOOKUP($B1304,[11]Complaints!$A$4:$AJ$39,33,)</f>
        <v>0</v>
      </c>
      <c r="O1340" s="68">
        <f>VLOOKUP($B1304,[12]Complaints!$A$4:$AJ$39,33,)</f>
        <v>0</v>
      </c>
      <c r="P1340" s="69">
        <f t="shared" si="348"/>
        <v>0</v>
      </c>
      <c r="Q1340" s="70" t="str">
        <f>IF(P1340=0,"",P1340/$P1312)</f>
        <v/>
      </c>
      <c r="R1340" s="18"/>
    </row>
    <row r="1341" spans="1:19" ht="15.75" customHeight="1" x14ac:dyDescent="0.2">
      <c r="B1341" s="146"/>
      <c r="C1341" s="38" t="s">
        <v>115</v>
      </c>
      <c r="D1341" s="66">
        <f>VLOOKUP($B1304,[1]Complaints!$A$4:$AJ$39,34,)</f>
        <v>0</v>
      </c>
      <c r="E1341" s="67">
        <f>VLOOKUP($B1304,[2]Complaints!$A$4:$AJ$39,34,)</f>
        <v>0</v>
      </c>
      <c r="F1341" s="67">
        <f>VLOOKUP($B1304,[3]Complaints!$A$4:$AJ$39,34,)</f>
        <v>0</v>
      </c>
      <c r="G1341" s="67">
        <f>VLOOKUP($B1304,[4]Complaints!$A$4:$AJ$39,34,)</f>
        <v>0</v>
      </c>
      <c r="H1341" s="67">
        <f>VLOOKUP($B1304,[5]Complaints!$A$4:$AJ$39,34,)</f>
        <v>0</v>
      </c>
      <c r="I1341" s="67">
        <f>VLOOKUP($B1304,[6]Complaints!$A$4:$AJ$39,34,)</f>
        <v>0</v>
      </c>
      <c r="J1341" s="67">
        <f>VLOOKUP($B1304,[7]Complaints!$A$4:$AJ$39,34,)</f>
        <v>0</v>
      </c>
      <c r="K1341" s="67">
        <f>VLOOKUP($B1304,[8]Complaints!$A$4:$AJ$39,34,)</f>
        <v>0</v>
      </c>
      <c r="L1341" s="67">
        <f>VLOOKUP($B1304,[9]Complaints!$A$4:$AJ$39,34,)</f>
        <v>0</v>
      </c>
      <c r="M1341" s="67">
        <f>VLOOKUP($B1304,[10]Complaints!$A$4:$AJ$39,34,)</f>
        <v>0</v>
      </c>
      <c r="N1341" s="67">
        <f>VLOOKUP($B1304,[11]Complaints!$A$4:$AJ$39,34,)</f>
        <v>0</v>
      </c>
      <c r="O1341" s="68">
        <f>VLOOKUP($B1304,[12]Complaints!$A$4:$AJ$39,34,)</f>
        <v>0</v>
      </c>
      <c r="P1341" s="69">
        <f t="shared" si="348"/>
        <v>0</v>
      </c>
      <c r="Q1341" s="70" t="str">
        <f>IF(P1341=0,"",P1341/$P1312)</f>
        <v/>
      </c>
      <c r="R1341" s="18"/>
    </row>
    <row r="1342" spans="1:19" ht="15.75" customHeight="1" x14ac:dyDescent="0.2">
      <c r="B1342" s="146"/>
      <c r="C1342" s="38" t="s">
        <v>116</v>
      </c>
      <c r="D1342" s="66">
        <f>VLOOKUP($B1304,[1]Complaints!$A$4:$AJ$39,35,)</f>
        <v>0</v>
      </c>
      <c r="E1342" s="67">
        <f>VLOOKUP($B1304,[2]Complaints!$A$4:$AJ$39,35,)</f>
        <v>0</v>
      </c>
      <c r="F1342" s="67">
        <f>VLOOKUP($B1304,[3]Complaints!$A$4:$AJ$39,35,)</f>
        <v>0</v>
      </c>
      <c r="G1342" s="67">
        <f>VLOOKUP($B1304,[4]Complaints!$A$4:$AJ$39,35,)</f>
        <v>0</v>
      </c>
      <c r="H1342" s="67">
        <f>VLOOKUP($B1304,[5]Complaints!$A$4:$AJ$39,35,)</f>
        <v>0</v>
      </c>
      <c r="I1342" s="67">
        <f>VLOOKUP($B1304,[6]Complaints!$A$4:$AJ$39,35,)</f>
        <v>0</v>
      </c>
      <c r="J1342" s="67">
        <f>VLOOKUP($B1304,[7]Complaints!$A$4:$AJ$39,35,)</f>
        <v>0</v>
      </c>
      <c r="K1342" s="67">
        <f>VLOOKUP($B1304,[8]Complaints!$A$4:$AJ$39,35,)</f>
        <v>0</v>
      </c>
      <c r="L1342" s="67">
        <f>VLOOKUP($B1304,[9]Complaints!$A$4:$AJ$39,35,)</f>
        <v>0</v>
      </c>
      <c r="M1342" s="67">
        <f>VLOOKUP($B1304,[10]Complaints!$A$4:$AJ$39,35,)</f>
        <v>0</v>
      </c>
      <c r="N1342" s="67">
        <f>VLOOKUP($B1304,[11]Complaints!$A$4:$AJ$39,35,)</f>
        <v>0</v>
      </c>
      <c r="O1342" s="68">
        <f>VLOOKUP($B1304,[12]Complaints!$A$4:$AJ$39,35,)</f>
        <v>0</v>
      </c>
      <c r="P1342" s="69">
        <f t="shared" si="348"/>
        <v>0</v>
      </c>
      <c r="Q1342" s="70" t="str">
        <f>IF(P1342=0,"",P1342/$P1312)</f>
        <v/>
      </c>
      <c r="R1342" s="18"/>
    </row>
    <row r="1343" spans="1:19" ht="15.75" customHeight="1" thickBot="1" x14ac:dyDescent="0.25">
      <c r="B1343" s="147"/>
      <c r="C1343" s="41" t="s">
        <v>117</v>
      </c>
      <c r="D1343" s="78">
        <f>VLOOKUP($B1304,[1]Complaints!$A$4:$AJ$39,36,)</f>
        <v>0</v>
      </c>
      <c r="E1343" s="79">
        <f>VLOOKUP($B1304,[2]Complaints!$A$4:$AJ$39,36,)</f>
        <v>0</v>
      </c>
      <c r="F1343" s="79">
        <f>VLOOKUP($B1304,[3]Complaints!$A$4:$AJ$39,36,)</f>
        <v>0</v>
      </c>
      <c r="G1343" s="79">
        <f>VLOOKUP($B1304,[4]Complaints!$A$4:$AJ$39,36,)</f>
        <v>0</v>
      </c>
      <c r="H1343" s="79">
        <f>VLOOKUP($B1304,[5]Complaints!$A$4:$AJ$39,36,)</f>
        <v>0</v>
      </c>
      <c r="I1343" s="79">
        <f>VLOOKUP($B1304,[6]Complaints!$A$4:$AJ$39,36,)</f>
        <v>0</v>
      </c>
      <c r="J1343" s="79">
        <f>VLOOKUP($B1304,[7]Complaints!$A$4:$AJ$39,36,)</f>
        <v>0</v>
      </c>
      <c r="K1343" s="79">
        <f>VLOOKUP($B1304,[8]Complaints!$A$4:$AJ$39,36,)</f>
        <v>0</v>
      </c>
      <c r="L1343" s="79">
        <f>VLOOKUP($B1304,[9]Complaints!$A$4:$AJ$39,36,)</f>
        <v>0</v>
      </c>
      <c r="M1343" s="79">
        <f>VLOOKUP($B1304,[10]Complaints!$A$4:$AJ$39,36,)</f>
        <v>0</v>
      </c>
      <c r="N1343" s="79">
        <f>VLOOKUP($B1304,[11]Complaints!$A$4:$AJ$39,36,)</f>
        <v>0</v>
      </c>
      <c r="O1343" s="80">
        <f>VLOOKUP($B1304,[12]Complaints!$A$4:$AJ$39,36,)</f>
        <v>0</v>
      </c>
      <c r="P1343" s="81">
        <f t="shared" si="348"/>
        <v>0</v>
      </c>
      <c r="Q1343" s="82" t="str">
        <f>IF(P1343=0,"",P1343/$P1312)</f>
        <v/>
      </c>
      <c r="R1343" s="18"/>
    </row>
    <row r="1344" spans="1:19" ht="15.75" customHeight="1" thickBot="1" x14ac:dyDescent="0.25">
      <c r="R1344" s="18"/>
    </row>
    <row r="1345" spans="2:18" ht="15.75" customHeight="1" x14ac:dyDescent="0.25">
      <c r="B1345" s="158" t="s">
        <v>85</v>
      </c>
      <c r="C1345" s="159"/>
      <c r="D1345" s="32" t="s">
        <v>0</v>
      </c>
      <c r="E1345" s="20" t="s">
        <v>1</v>
      </c>
      <c r="F1345" s="20" t="s">
        <v>2</v>
      </c>
      <c r="G1345" s="20" t="s">
        <v>3</v>
      </c>
      <c r="H1345" s="20" t="s">
        <v>4</v>
      </c>
      <c r="I1345" s="20" t="s">
        <v>5</v>
      </c>
      <c r="J1345" s="20" t="s">
        <v>6</v>
      </c>
      <c r="K1345" s="20" t="s">
        <v>7</v>
      </c>
      <c r="L1345" s="20" t="s">
        <v>8</v>
      </c>
      <c r="M1345" s="20" t="s">
        <v>9</v>
      </c>
      <c r="N1345" s="20" t="s">
        <v>10</v>
      </c>
      <c r="O1345" s="33" t="s">
        <v>11</v>
      </c>
      <c r="P1345" s="35" t="s">
        <v>12</v>
      </c>
      <c r="Q1345" s="160" t="s">
        <v>104</v>
      </c>
      <c r="R1345" s="18"/>
    </row>
    <row r="1346" spans="2:18" ht="15.75" customHeight="1" thickBot="1" x14ac:dyDescent="0.3">
      <c r="B1346" s="162" t="s">
        <v>86</v>
      </c>
      <c r="C1346" s="163"/>
      <c r="D1346" s="34">
        <v>2020</v>
      </c>
      <c r="E1346" s="34">
        <v>2020</v>
      </c>
      <c r="F1346" s="34">
        <v>2020</v>
      </c>
      <c r="G1346" s="34">
        <v>2020</v>
      </c>
      <c r="H1346" s="34">
        <v>2020</v>
      </c>
      <c r="I1346" s="34">
        <v>2020</v>
      </c>
      <c r="J1346" s="34">
        <v>2020</v>
      </c>
      <c r="K1346" s="34">
        <v>2020</v>
      </c>
      <c r="L1346" s="34">
        <v>2020</v>
      </c>
      <c r="M1346" s="25">
        <v>2021</v>
      </c>
      <c r="N1346" s="25">
        <v>2021</v>
      </c>
      <c r="O1346" s="25">
        <v>2021</v>
      </c>
      <c r="P1346" s="36" t="s">
        <v>122</v>
      </c>
      <c r="Q1346" s="161"/>
      <c r="R1346" s="18"/>
    </row>
    <row r="1347" spans="2:18" ht="12.75" customHeight="1" thickBot="1" x14ac:dyDescent="0.25">
      <c r="B1347" s="164" t="s">
        <v>38</v>
      </c>
      <c r="C1347" s="165"/>
      <c r="D1347" s="42">
        <f>VLOOKUP($B1346,[1]Complaints!$A$4:$AJ$39,2,)</f>
        <v>451</v>
      </c>
      <c r="E1347" s="43">
        <f>VLOOKUP($B1346,[2]Complaints!$A$4:$AJ$39,2,)</f>
        <v>587</v>
      </c>
      <c r="F1347" s="43">
        <f>VLOOKUP($B1346,[3]Complaints!$A$4:$AJ$39,2)</f>
        <v>840</v>
      </c>
      <c r="G1347" s="43">
        <f>VLOOKUP($B1346,[4]Complaints!$A$4:$AJ$39,2)</f>
        <v>1509</v>
      </c>
      <c r="H1347" s="43">
        <f>VLOOKUP($B1346,[5]Complaints!$A$4:$AJ$39,2)</f>
        <v>1667</v>
      </c>
      <c r="I1347" s="43">
        <f>VLOOKUP($B1346,[6]Complaints!$A$4:$AJ$39,2)</f>
        <v>1791</v>
      </c>
      <c r="J1347" s="43">
        <f>VLOOKUP($B1346,[7]Complaints!$A$4:$AJ$39,2)</f>
        <v>1940</v>
      </c>
      <c r="K1347" s="43">
        <f>VLOOKUP($B1346,[8]Complaints!$A$4:$AJ$39,2)</f>
        <v>1940</v>
      </c>
      <c r="L1347" s="43">
        <f>VLOOKUP($B1346,[9]Complaints!$A$4:$AJ$39,2)</f>
        <v>1681</v>
      </c>
      <c r="M1347" s="43">
        <f>VLOOKUP($B1346,[10]Complaints!$A$4:$AJ$39,2)</f>
        <v>1195</v>
      </c>
      <c r="N1347" s="43">
        <f>VLOOKUP($B1346,[11]Complaints!$A$4:$AJ$39,2)</f>
        <v>0</v>
      </c>
      <c r="O1347" s="44">
        <f>VLOOKUP($B1346,[12]Complaints!$A$4:$AJ$39,2)</f>
        <v>0</v>
      </c>
      <c r="P1347" s="45">
        <f>SUM(D1347:O1347)</f>
        <v>13601</v>
      </c>
      <c r="Q1347" s="46"/>
      <c r="R1347" s="18"/>
    </row>
    <row r="1348" spans="2:18" ht="15.75" customHeight="1" x14ac:dyDescent="0.2">
      <c r="B1348" s="166" t="s">
        <v>94</v>
      </c>
      <c r="C1348" s="167"/>
      <c r="D1348" s="47">
        <f>VLOOKUP($B1346,[1]Complaints!$A$4:$AF$39,3,)</f>
        <v>0</v>
      </c>
      <c r="E1348" s="48">
        <f>VLOOKUP($B1346,[2]Complaints!$A$4:$AF$39,3,)</f>
        <v>1</v>
      </c>
      <c r="F1348" s="48">
        <f>VLOOKUP($B1346,[3]Complaints!$A$4:$AG$39,3,)</f>
        <v>0</v>
      </c>
      <c r="G1348" s="48">
        <f>VLOOKUP($B1346,[4]Complaints!$A$4:$AG$39,3,)</f>
        <v>0</v>
      </c>
      <c r="H1348" s="48">
        <f>VLOOKUP($B1346,[5]Complaints!$A$4:$AG$39,3,)</f>
        <v>1</v>
      </c>
      <c r="I1348" s="48">
        <f>VLOOKUP($B1346,[6]Complaints!$A$4:$AG$39,3,)</f>
        <v>4</v>
      </c>
      <c r="J1348" s="48">
        <f>VLOOKUP($B1346,[7]Complaints!$A$4:$AG$39,3,)</f>
        <v>3</v>
      </c>
      <c r="K1348" s="48">
        <f>VLOOKUP($B1346,[8]Complaints!$A$4:$AG$39,3,)</f>
        <v>3</v>
      </c>
      <c r="L1348" s="48">
        <f>VLOOKUP($B1346,[9]Complaints!$A$4:$AG$39,3,)</f>
        <v>0</v>
      </c>
      <c r="M1348" s="48">
        <f>VLOOKUP($B1346,[10]Complaints!$A$4:$AG$39,3,)</f>
        <v>2</v>
      </c>
      <c r="N1348" s="48">
        <f>VLOOKUP($B1346,[11]Complaints!$A$4:$AG$39,3,)</f>
        <v>0</v>
      </c>
      <c r="O1348" s="49">
        <f>VLOOKUP($B1346,[12]Complaints!$A$4:$AG$39,3,)</f>
        <v>0</v>
      </c>
      <c r="P1348" s="45">
        <f>SUM(D1348:O1348)</f>
        <v>14</v>
      </c>
      <c r="Q1348" s="50"/>
      <c r="R1348" s="18"/>
    </row>
    <row r="1349" spans="2:18" ht="15.75" customHeight="1" x14ac:dyDescent="0.2">
      <c r="B1349" s="26"/>
      <c r="C1349" s="28" t="s">
        <v>102</v>
      </c>
      <c r="D1349" s="51">
        <f>IF(D1347=0,"",D1348/D1347)</f>
        <v>0</v>
      </c>
      <c r="E1349" s="52">
        <f t="shared" ref="E1349:O1349" si="349">IF(E1347=0,"",E1348/E1347)</f>
        <v>1.7035775127768314E-3</v>
      </c>
      <c r="F1349" s="52">
        <f t="shared" si="349"/>
        <v>0</v>
      </c>
      <c r="G1349" s="52">
        <f t="shared" si="349"/>
        <v>0</v>
      </c>
      <c r="H1349" s="52">
        <f t="shared" si="349"/>
        <v>5.9988002399520091E-4</v>
      </c>
      <c r="I1349" s="52">
        <f t="shared" si="349"/>
        <v>2.2333891680625349E-3</v>
      </c>
      <c r="J1349" s="52">
        <f t="shared" si="349"/>
        <v>1.5463917525773195E-3</v>
      </c>
      <c r="K1349" s="52">
        <f t="shared" si="349"/>
        <v>1.5463917525773195E-3</v>
      </c>
      <c r="L1349" s="52">
        <f t="shared" si="349"/>
        <v>0</v>
      </c>
      <c r="M1349" s="52">
        <f t="shared" si="349"/>
        <v>1.6736401673640166E-3</v>
      </c>
      <c r="N1349" s="52" t="str">
        <f t="shared" si="349"/>
        <v/>
      </c>
      <c r="O1349" s="53" t="str">
        <f t="shared" si="349"/>
        <v/>
      </c>
      <c r="P1349" s="54">
        <f>IF(P1348="","",P1348/P1347)</f>
        <v>1.029336078229542E-3</v>
      </c>
      <c r="Q1349" s="50"/>
      <c r="R1349" s="18"/>
    </row>
    <row r="1350" spans="2:18" s="21" customFormat="1" ht="15.75" customHeight="1" x14ac:dyDescent="0.2">
      <c r="B1350" s="155" t="s">
        <v>95</v>
      </c>
      <c r="C1350" s="156"/>
      <c r="D1350" s="47">
        <f>VLOOKUP($B1346,[1]Complaints!$A$4:$AF$39,4,)</f>
        <v>0</v>
      </c>
      <c r="E1350" s="48">
        <f>VLOOKUP($B1346,[2]Complaints!$A$4:$AF$39,4,)</f>
        <v>0</v>
      </c>
      <c r="F1350" s="48">
        <f>VLOOKUP($B1346,[3]Complaints!$A$4:$AG$39,4,)</f>
        <v>0</v>
      </c>
      <c r="G1350" s="48">
        <f>VLOOKUP($B1346,[4]Complaints!$A$4:$AG$39,4,)</f>
        <v>0</v>
      </c>
      <c r="H1350" s="48">
        <f>VLOOKUP($B1346,[5]Complaints!$A$4:$AG$39,4,)</f>
        <v>0</v>
      </c>
      <c r="I1350" s="48">
        <f>VLOOKUP($B1346,[6]Complaints!$A$4:$AG$39,4,)</f>
        <v>0</v>
      </c>
      <c r="J1350" s="48">
        <f>VLOOKUP($B1346,[7]Complaints!$A$4:$AG$39,4,)</f>
        <v>0</v>
      </c>
      <c r="K1350" s="48">
        <f>VLOOKUP($B1346,[8]Complaints!$A$4:$AG$39,4,)</f>
        <v>0</v>
      </c>
      <c r="L1350" s="48">
        <f>VLOOKUP($B1346,[9]Complaints!$A$4:$AG$39,4,)</f>
        <v>0</v>
      </c>
      <c r="M1350" s="48">
        <f>VLOOKUP($B1346,[10]Complaints!$A$4:$AG$39,4,)</f>
        <v>1</v>
      </c>
      <c r="N1350" s="48">
        <f>VLOOKUP($B1346,[11]Complaints!$A$4:$AG$39,4,)</f>
        <v>0</v>
      </c>
      <c r="O1350" s="49">
        <f>VLOOKUP($B1346,[12]Complaints!$A$4:$AG$39,4,)</f>
        <v>0</v>
      </c>
      <c r="P1350" s="55">
        <f t="shared" ref="P1350" si="350">SUM(D1350:O1350)</f>
        <v>1</v>
      </c>
      <c r="Q1350" s="50"/>
    </row>
    <row r="1351" spans="2:18" ht="15.75" customHeight="1" x14ac:dyDescent="0.2">
      <c r="B1351" s="26"/>
      <c r="C1351" s="28" t="s">
        <v>98</v>
      </c>
      <c r="D1351" s="51">
        <f>IF(D1347=0,"",D1350/D1347)</f>
        <v>0</v>
      </c>
      <c r="E1351" s="52">
        <f t="shared" ref="E1351:O1351" si="351">IF(E1347=0,"",E1350/E1347)</f>
        <v>0</v>
      </c>
      <c r="F1351" s="52">
        <f t="shared" si="351"/>
        <v>0</v>
      </c>
      <c r="G1351" s="52">
        <f t="shared" si="351"/>
        <v>0</v>
      </c>
      <c r="H1351" s="52">
        <f t="shared" si="351"/>
        <v>0</v>
      </c>
      <c r="I1351" s="52">
        <f t="shared" si="351"/>
        <v>0</v>
      </c>
      <c r="J1351" s="52">
        <f t="shared" si="351"/>
        <v>0</v>
      </c>
      <c r="K1351" s="52">
        <f t="shared" si="351"/>
        <v>0</v>
      </c>
      <c r="L1351" s="52">
        <f t="shared" si="351"/>
        <v>0</v>
      </c>
      <c r="M1351" s="52">
        <f t="shared" si="351"/>
        <v>8.3682008368200832E-4</v>
      </c>
      <c r="N1351" s="52" t="str">
        <f t="shared" si="351"/>
        <v/>
      </c>
      <c r="O1351" s="53" t="str">
        <f t="shared" si="351"/>
        <v/>
      </c>
      <c r="P1351" s="54">
        <f>IF(P1350="","",P1350/P1347)</f>
        <v>7.3524005587824429E-5</v>
      </c>
      <c r="Q1351" s="50"/>
      <c r="R1351" s="18"/>
    </row>
    <row r="1352" spans="2:18" ht="15.75" customHeight="1" x14ac:dyDescent="0.2">
      <c r="B1352" s="155" t="s">
        <v>96</v>
      </c>
      <c r="C1352" s="156"/>
      <c r="D1352" s="47">
        <f>VLOOKUP($B1346,[1]Complaints!$A$4:$AF$39,5,)</f>
        <v>0</v>
      </c>
      <c r="E1352" s="48">
        <f>VLOOKUP($B1346,[2]Complaints!$A$4:$AF$39,5,)</f>
        <v>1</v>
      </c>
      <c r="F1352" s="48">
        <f>VLOOKUP($B1346,[3]Complaints!$A$4:$AG$39,5,)</f>
        <v>0</v>
      </c>
      <c r="G1352" s="48">
        <f>VLOOKUP($B1346,[4]Complaints!$A$4:$AG$39,5,)</f>
        <v>0</v>
      </c>
      <c r="H1352" s="48">
        <f>VLOOKUP($B1346,[5]Complaints!$A$4:$AG$39,5,)</f>
        <v>1</v>
      </c>
      <c r="I1352" s="48">
        <f>VLOOKUP($B1346,[6]Complaints!$A$4:$AG$39,5,)</f>
        <v>4</v>
      </c>
      <c r="J1352" s="48">
        <f>VLOOKUP($B1346,[7]Complaints!$A$4:$AG$39,5,)</f>
        <v>3</v>
      </c>
      <c r="K1352" s="48">
        <f>VLOOKUP($B1346,[8]Complaints!$A$4:$AG$39,5,)</f>
        <v>3</v>
      </c>
      <c r="L1352" s="48">
        <f>VLOOKUP($B1346,[9]Complaints!$A$4:$AG$39,5,)</f>
        <v>0</v>
      </c>
      <c r="M1352" s="48">
        <f>VLOOKUP($B1346,[10]Complaints!$A$4:$AG$39,5,)</f>
        <v>1</v>
      </c>
      <c r="N1352" s="48">
        <f>VLOOKUP($B1346,[11]Complaints!$A$4:$AG$39,5,)</f>
        <v>0</v>
      </c>
      <c r="O1352" s="49">
        <f>VLOOKUP($B1346,[12]Complaints!$A$4:$AG$39,5,)</f>
        <v>0</v>
      </c>
      <c r="P1352" s="55">
        <f t="shared" ref="P1352" si="352">SUM(D1352:O1352)</f>
        <v>13</v>
      </c>
      <c r="Q1352" s="50"/>
      <c r="R1352" s="18"/>
    </row>
    <row r="1353" spans="2:18" ht="15.75" customHeight="1" x14ac:dyDescent="0.2">
      <c r="B1353" s="26"/>
      <c r="C1353" s="28" t="s">
        <v>99</v>
      </c>
      <c r="D1353" s="51">
        <f>IF(D1347=0,"",D1352/D1347)</f>
        <v>0</v>
      </c>
      <c r="E1353" s="52">
        <f t="shared" ref="E1353:O1353" si="353">IF(E1347=0,"",E1352/E1347)</f>
        <v>1.7035775127768314E-3</v>
      </c>
      <c r="F1353" s="52">
        <f t="shared" si="353"/>
        <v>0</v>
      </c>
      <c r="G1353" s="52">
        <f t="shared" si="353"/>
        <v>0</v>
      </c>
      <c r="H1353" s="52">
        <f t="shared" si="353"/>
        <v>5.9988002399520091E-4</v>
      </c>
      <c r="I1353" s="52">
        <f t="shared" si="353"/>
        <v>2.2333891680625349E-3</v>
      </c>
      <c r="J1353" s="52">
        <f t="shared" si="353"/>
        <v>1.5463917525773195E-3</v>
      </c>
      <c r="K1353" s="52">
        <f t="shared" si="353"/>
        <v>1.5463917525773195E-3</v>
      </c>
      <c r="L1353" s="52">
        <f t="shared" si="353"/>
        <v>0</v>
      </c>
      <c r="M1353" s="52">
        <f t="shared" si="353"/>
        <v>8.3682008368200832E-4</v>
      </c>
      <c r="N1353" s="52" t="str">
        <f t="shared" si="353"/>
        <v/>
      </c>
      <c r="O1353" s="53" t="str">
        <f t="shared" si="353"/>
        <v/>
      </c>
      <c r="P1353" s="54">
        <f>IF(P1352="","",P1352/P1347)</f>
        <v>9.5581207264171751E-4</v>
      </c>
      <c r="Q1353" s="50"/>
      <c r="R1353" s="18"/>
    </row>
    <row r="1354" spans="2:18" ht="15.75" customHeight="1" x14ac:dyDescent="0.2">
      <c r="B1354" s="157" t="s">
        <v>97</v>
      </c>
      <c r="C1354" s="156"/>
      <c r="D1354" s="47">
        <f>VLOOKUP($B1346,[1]Complaints!$A$4:$AF$39,6,)</f>
        <v>0</v>
      </c>
      <c r="E1354" s="48">
        <f>VLOOKUP($B1346,[2]Complaints!$A$4:$AF$39,6,)</f>
        <v>1</v>
      </c>
      <c r="F1354" s="48">
        <f>VLOOKUP($B1346,[3]Complaints!$A$4:$AG$39,6,)</f>
        <v>0</v>
      </c>
      <c r="G1354" s="48">
        <f>VLOOKUP($B1346,[4]Complaints!$A$4:$AG$39,6,)</f>
        <v>0</v>
      </c>
      <c r="H1354" s="48">
        <f>VLOOKUP($B1346,[5]Complaints!$A$4:$AG$39,6,)</f>
        <v>0</v>
      </c>
      <c r="I1354" s="48">
        <f>VLOOKUP($B1346,[6]Complaints!$A$4:$AG$39,6,)</f>
        <v>1</v>
      </c>
      <c r="J1354" s="48">
        <f>VLOOKUP($B1346,[7]Complaints!$A$4:$AG$39,6,)</f>
        <v>1</v>
      </c>
      <c r="K1354" s="48">
        <f>VLOOKUP($B1346,[8]Complaints!$A$4:$AG$39,6,)</f>
        <v>1</v>
      </c>
      <c r="L1354" s="48">
        <f>VLOOKUP($B1346,[9]Complaints!$A$4:$AG$39,6,)</f>
        <v>0</v>
      </c>
      <c r="M1354" s="48">
        <f>VLOOKUP($B1346,[10]Complaints!$A$4:$AG$39,6,)</f>
        <v>1</v>
      </c>
      <c r="N1354" s="48">
        <f>VLOOKUP($B1346,[11]Complaints!$A$4:$AG$39,6,)</f>
        <v>0</v>
      </c>
      <c r="O1354" s="49">
        <f>VLOOKUP($B1346,[12]Complaints!$A$4:$AG$39,6,)</f>
        <v>0</v>
      </c>
      <c r="P1354" s="55">
        <f t="shared" ref="P1354" si="354">SUM(D1354:O1354)</f>
        <v>5</v>
      </c>
      <c r="Q1354" s="50"/>
      <c r="R1354" s="18"/>
    </row>
    <row r="1355" spans="2:18" ht="15.75" customHeight="1" thickBot="1" x14ac:dyDescent="0.25">
      <c r="B1355" s="27"/>
      <c r="C1355" s="29" t="s">
        <v>100</v>
      </c>
      <c r="D1355" s="56" t="str">
        <f>IF(D1354=0,"",D1354/D1352)</f>
        <v/>
      </c>
      <c r="E1355" s="57">
        <f t="shared" ref="E1355:H1355" si="355">IF(E1354=0,"",E1354/E1352)</f>
        <v>1</v>
      </c>
      <c r="F1355" s="57" t="str">
        <f t="shared" si="355"/>
        <v/>
      </c>
      <c r="G1355" s="57" t="str">
        <f t="shared" si="355"/>
        <v/>
      </c>
      <c r="H1355" s="57" t="str">
        <f t="shared" si="355"/>
        <v/>
      </c>
      <c r="I1355" s="57">
        <f>IF(I1354=0,"",I1354/I1352)</f>
        <v>0.25</v>
      </c>
      <c r="J1355" s="57">
        <f t="shared" ref="J1355:O1355" si="356">IF(J1354=0,"",J1354/J1352)</f>
        <v>0.33333333333333331</v>
      </c>
      <c r="K1355" s="57">
        <f t="shared" si="356"/>
        <v>0.33333333333333331</v>
      </c>
      <c r="L1355" s="57" t="str">
        <f t="shared" si="356"/>
        <v/>
      </c>
      <c r="M1355" s="57">
        <f t="shared" si="356"/>
        <v>1</v>
      </c>
      <c r="N1355" s="57" t="str">
        <f t="shared" si="356"/>
        <v/>
      </c>
      <c r="O1355" s="58" t="str">
        <f t="shared" si="356"/>
        <v/>
      </c>
      <c r="P1355" s="59">
        <f>IF(P1354=0,"",P1354/P1352)</f>
        <v>0.38461538461538464</v>
      </c>
      <c r="Q1355" s="60"/>
      <c r="R1355" s="18"/>
    </row>
    <row r="1356" spans="2:18" ht="15.75" customHeight="1" x14ac:dyDescent="0.2">
      <c r="B1356" s="168" t="s">
        <v>103</v>
      </c>
      <c r="C1356" s="30" t="s">
        <v>77</v>
      </c>
      <c r="D1356" s="61">
        <f>VLOOKUP($B1346,[1]Complaints!$A$4:$AJ$39,7,)</f>
        <v>0</v>
      </c>
      <c r="E1356" s="43">
        <f>VLOOKUP($B1346,[2]Complaints!$A$4:$AJ$39,7,)</f>
        <v>0</v>
      </c>
      <c r="F1356" s="43">
        <f>VLOOKUP($B1346,[3]Complaints!$A$4:$AJ$39,7,)</f>
        <v>0</v>
      </c>
      <c r="G1356" s="43">
        <f>VLOOKUP($B1346,[4]Complaints!$A$4:$AJ$39,7,)</f>
        <v>0</v>
      </c>
      <c r="H1356" s="43">
        <f>VLOOKUP($B1346,[5]Complaints!$A$4:$AJ$39,7,)</f>
        <v>0</v>
      </c>
      <c r="I1356" s="43">
        <f>VLOOKUP($B1346,[6]Complaints!$A$4:$AJ$39,7,)</f>
        <v>0</v>
      </c>
      <c r="J1356" s="43">
        <f>VLOOKUP($B1346,[7]Complaints!$A$4:$AJ$39,7,)</f>
        <v>0</v>
      </c>
      <c r="K1356" s="43">
        <f>VLOOKUP($B1346,[8]Complaints!$A$4:$AJ$39,7,)</f>
        <v>0</v>
      </c>
      <c r="L1356" s="43">
        <f>VLOOKUP($B1346,[9]Complaints!$A$4:$AJ$39,7,)</f>
        <v>0</v>
      </c>
      <c r="M1356" s="43">
        <f>VLOOKUP($B1346,[10]Complaints!$A$4:$AJ$39,7,)</f>
        <v>0</v>
      </c>
      <c r="N1356" s="43">
        <f>VLOOKUP($B1346,[11]Complaints!$A$4:$AJ$39,7,)</f>
        <v>0</v>
      </c>
      <c r="O1356" s="44">
        <f>VLOOKUP($B1346,[12]Complaints!$A$4:$AJ$39,7,)</f>
        <v>0</v>
      </c>
      <c r="P1356" s="45">
        <f>SUM(D1356:O1356)</f>
        <v>0</v>
      </c>
      <c r="Q1356" s="46" t="str">
        <f>IF(P1356=0,"",P1356/$P1348)</f>
        <v/>
      </c>
      <c r="R1356" s="18"/>
    </row>
    <row r="1357" spans="2:18" ht="15.75" customHeight="1" x14ac:dyDescent="0.2">
      <c r="B1357" s="169"/>
      <c r="C1357" s="31" t="s">
        <v>89</v>
      </c>
      <c r="D1357" s="47">
        <f>VLOOKUP($B1346,[1]Complaints!$A$4:$AJ$39,8,)</f>
        <v>0</v>
      </c>
      <c r="E1357" s="48">
        <f>VLOOKUP($B1346,[2]Complaints!$A$4:$AJ$39,8,)</f>
        <v>1</v>
      </c>
      <c r="F1357" s="48">
        <f>VLOOKUP($B1346,[3]Complaints!$A$4:$AJ$39,8,)</f>
        <v>0</v>
      </c>
      <c r="G1357" s="48">
        <f>VLOOKUP($B1346,[4]Complaints!$A$4:$AJ$39,8,)</f>
        <v>0</v>
      </c>
      <c r="H1357" s="48">
        <f>VLOOKUP($B1346,[5]Complaints!$A$4:$AJ$39,8,)</f>
        <v>1</v>
      </c>
      <c r="I1357" s="48">
        <f>VLOOKUP($B1346,[6]Complaints!$A$4:$AJ$39,8,)</f>
        <v>3</v>
      </c>
      <c r="J1357" s="48">
        <f>VLOOKUP($B1346,[7]Complaints!$A$4:$AJ$39,8,)</f>
        <v>1</v>
      </c>
      <c r="K1357" s="48">
        <f>VLOOKUP($B1346,[8]Complaints!$A$4:$AJ$39,8,)</f>
        <v>0</v>
      </c>
      <c r="L1357" s="48">
        <f>VLOOKUP($B1346,[9]Complaints!$A$4:$AJ$39,8,)</f>
        <v>0</v>
      </c>
      <c r="M1357" s="48">
        <f>VLOOKUP($B1346,[10]Complaints!$A$4:$AJ$39,8,)</f>
        <v>0</v>
      </c>
      <c r="N1357" s="48">
        <f>VLOOKUP($B1346,[11]Complaints!$A$4:$AJ$39,8,)</f>
        <v>0</v>
      </c>
      <c r="O1357" s="49">
        <f>VLOOKUP($B1346,[12]Complaints!$A$4:$AJ$39,8,)</f>
        <v>0</v>
      </c>
      <c r="P1357" s="55">
        <f t="shared" ref="P1357:P1358" si="357">SUM(D1357:O1357)</f>
        <v>6</v>
      </c>
      <c r="Q1357" s="50">
        <f>IF(P1357="","",P1357/$P1348)</f>
        <v>0.42857142857142855</v>
      </c>
      <c r="R1357" s="18"/>
    </row>
    <row r="1358" spans="2:18" ht="15.75" customHeight="1" x14ac:dyDescent="0.2">
      <c r="B1358" s="169"/>
      <c r="C1358" s="31" t="s">
        <v>88</v>
      </c>
      <c r="D1358" s="47">
        <f>VLOOKUP($B1346,[1]Complaints!$A$4:$AJ$39,9,)</f>
        <v>0</v>
      </c>
      <c r="E1358" s="48">
        <f>VLOOKUP($B1346,[2]Complaints!$A$4:$AJ$39,9,)</f>
        <v>0</v>
      </c>
      <c r="F1358" s="48">
        <f>VLOOKUP($B1346,[3]Complaints!$A$4:$AJ$39,9,)</f>
        <v>0</v>
      </c>
      <c r="G1358" s="48">
        <f>VLOOKUP($B1346,[4]Complaints!$A$4:$AJ$39,9,)</f>
        <v>0</v>
      </c>
      <c r="H1358" s="48">
        <f>VLOOKUP($B1346,[5]Complaints!$A$4:$AJ$39,9,)</f>
        <v>0</v>
      </c>
      <c r="I1358" s="48">
        <f>VLOOKUP($B1346,[6]Complaints!$A$4:$AJ$39,9,)</f>
        <v>0</v>
      </c>
      <c r="J1358" s="48">
        <f>VLOOKUP($B1346,[7]Complaints!$A$4:$AJ$39,9,)</f>
        <v>0</v>
      </c>
      <c r="K1358" s="48">
        <f>VLOOKUP($B1346,[8]Complaints!$A$4:$AJ$39,9,)</f>
        <v>0</v>
      </c>
      <c r="L1358" s="48">
        <f>VLOOKUP($B1346,[9]Complaints!$A$4:$AJ$39,9,)</f>
        <v>0</v>
      </c>
      <c r="M1358" s="48">
        <f>VLOOKUP($B1346,[10]Complaints!$A$4:$AJ$39,9,)</f>
        <v>0</v>
      </c>
      <c r="N1358" s="48">
        <f>VLOOKUP($B1346,[11]Complaints!$A$4:$AJ$39,9,)</f>
        <v>0</v>
      </c>
      <c r="O1358" s="49">
        <f>VLOOKUP($B1346,[12]Complaints!$A$4:$AJ$39,9,)</f>
        <v>0</v>
      </c>
      <c r="P1358" s="55">
        <f t="shared" si="357"/>
        <v>0</v>
      </c>
      <c r="Q1358" s="50" t="str">
        <f>IF(P1358=0,"",P1358/$P1348)</f>
        <v/>
      </c>
      <c r="R1358" s="18"/>
    </row>
    <row r="1359" spans="2:18" ht="15.75" customHeight="1" x14ac:dyDescent="0.2">
      <c r="B1359" s="169"/>
      <c r="C1359" s="31" t="s">
        <v>13</v>
      </c>
      <c r="D1359" s="47">
        <f>VLOOKUP($B1346,[1]Complaints!$A$4:$AJ$39,10,)</f>
        <v>0</v>
      </c>
      <c r="E1359" s="48">
        <f>VLOOKUP($B1346,[2]Complaints!$A$4:$AJ$39,10,)</f>
        <v>0</v>
      </c>
      <c r="F1359" s="48">
        <f>VLOOKUP($B1346,[3]Complaints!$A$4:$AJ$39,10,)</f>
        <v>0</v>
      </c>
      <c r="G1359" s="48">
        <f>VLOOKUP($B1346,[4]Complaints!$A$4:$AJ$39,10,)</f>
        <v>0</v>
      </c>
      <c r="H1359" s="48">
        <f>VLOOKUP($B1346,[5]Complaints!$A$4:$AJ$39,10,)</f>
        <v>0</v>
      </c>
      <c r="I1359" s="48">
        <f>VLOOKUP($B1346,[6]Complaints!$A$4:$AJ$39,10,)</f>
        <v>0</v>
      </c>
      <c r="J1359" s="48">
        <f>VLOOKUP($B1346,[7]Complaints!$A$4:$AJ$39,10,)</f>
        <v>0</v>
      </c>
      <c r="K1359" s="48">
        <f>VLOOKUP($B1346,[8]Complaints!$A$4:$AJ$39,10,)</f>
        <v>1</v>
      </c>
      <c r="L1359" s="48">
        <f>VLOOKUP($B1346,[9]Complaints!$A$4:$AJ$39,10,)</f>
        <v>0</v>
      </c>
      <c r="M1359" s="48">
        <f>VLOOKUP($B1346,[10]Complaints!$A$4:$AJ$39,10,)</f>
        <v>1</v>
      </c>
      <c r="N1359" s="48">
        <f>VLOOKUP($B1346,[11]Complaints!$A$4:$AJ$39,10,)</f>
        <v>0</v>
      </c>
      <c r="O1359" s="49">
        <f>VLOOKUP($B1346,[12]Complaints!$A$4:$AJ$39,10,)</f>
        <v>0</v>
      </c>
      <c r="P1359" s="55">
        <f>SUM(D1359:O1359)</f>
        <v>2</v>
      </c>
      <c r="Q1359" s="50">
        <f>IF(P1359=0,"",P1359/$P1348)</f>
        <v>0.14285714285714285</v>
      </c>
      <c r="R1359" s="18"/>
    </row>
    <row r="1360" spans="2:18" ht="15.75" customHeight="1" x14ac:dyDescent="0.2">
      <c r="B1360" s="169"/>
      <c r="C1360" s="31" t="s">
        <v>101</v>
      </c>
      <c r="D1360" s="47">
        <f>VLOOKUP($B1346,[1]Complaints!$A$4:$AJ$39,11,)</f>
        <v>0</v>
      </c>
      <c r="E1360" s="48">
        <f>VLOOKUP($B1346,[2]Complaints!$A$4:$AJ$39,11,)</f>
        <v>0</v>
      </c>
      <c r="F1360" s="48">
        <f>VLOOKUP($B1346,[3]Complaints!$A$4:$AJ$39,11,)</f>
        <v>0</v>
      </c>
      <c r="G1360" s="48">
        <f>VLOOKUP($B1346,[4]Complaints!$A$4:$AJ$39,11,)</f>
        <v>0</v>
      </c>
      <c r="H1360" s="48">
        <f>VLOOKUP($B1346,[5]Complaints!$A$4:$AJ$39,11,)</f>
        <v>0</v>
      </c>
      <c r="I1360" s="48">
        <f>VLOOKUP($B1346,[6]Complaints!$A$4:$AJ$39,11,)</f>
        <v>0</v>
      </c>
      <c r="J1360" s="48">
        <f>VLOOKUP($B1346,[7]Complaints!$A$4:$AJ$39,11,)</f>
        <v>2</v>
      </c>
      <c r="K1360" s="48">
        <f>VLOOKUP($B1346,[8]Complaints!$A$4:$AJ$39,11,)</f>
        <v>0</v>
      </c>
      <c r="L1360" s="48">
        <f>VLOOKUP($B1346,[9]Complaints!$A$4:$AJ$39,11,)</f>
        <v>0</v>
      </c>
      <c r="M1360" s="48">
        <f>VLOOKUP($B1346,[10]Complaints!$A$4:$AJ$39,11,)</f>
        <v>0</v>
      </c>
      <c r="N1360" s="48">
        <f>VLOOKUP($B1346,[11]Complaints!$A$4:$AJ$39,11,)</f>
        <v>0</v>
      </c>
      <c r="O1360" s="49">
        <f>VLOOKUP($B1346,[12]Complaints!$A$4:$AJ$39,11,)</f>
        <v>0</v>
      </c>
      <c r="P1360" s="55">
        <f t="shared" ref="P1360:P1369" si="358">SUM(D1360:O1360)</f>
        <v>2</v>
      </c>
      <c r="Q1360" s="50">
        <f>IF(P1360=0,"",P1360/$P1348)</f>
        <v>0.14285714285714285</v>
      </c>
      <c r="R1360" s="18"/>
    </row>
    <row r="1361" spans="1:19" s="19" customFormat="1" ht="15.75" customHeight="1" x14ac:dyDescent="0.2">
      <c r="B1361" s="169"/>
      <c r="C1361" s="31" t="s">
        <v>93</v>
      </c>
      <c r="D1361" s="47">
        <f>VLOOKUP($B1346,[1]Complaints!$A$4:$AJ$39,12,)</f>
        <v>0</v>
      </c>
      <c r="E1361" s="48">
        <f>VLOOKUP($B1346,[2]Complaints!$A$4:$AJ$39,12,)</f>
        <v>0</v>
      </c>
      <c r="F1361" s="48">
        <f>VLOOKUP($B1346,[3]Complaints!$A$4:$AJ$39,12,)</f>
        <v>0</v>
      </c>
      <c r="G1361" s="48">
        <f>VLOOKUP($B1346,[4]Complaints!$A$4:$AJ$39,12,)</f>
        <v>0</v>
      </c>
      <c r="H1361" s="48">
        <f>VLOOKUP($B1346,[5]Complaints!$A$4:$AJ$39,12,)</f>
        <v>0</v>
      </c>
      <c r="I1361" s="48">
        <f>VLOOKUP($B1346,[6]Complaints!$A$4:$AJ$39,12,)</f>
        <v>0</v>
      </c>
      <c r="J1361" s="48">
        <f>VLOOKUP($B1346,[7]Complaints!$A$4:$AJ$39,12,)</f>
        <v>0</v>
      </c>
      <c r="K1361" s="48">
        <f>VLOOKUP($B1346,[8]Complaints!$A$4:$AJ$39,12,)</f>
        <v>1</v>
      </c>
      <c r="L1361" s="48">
        <f>VLOOKUP($B1346,[9]Complaints!$A$4:$AJ$39,12,)</f>
        <v>0</v>
      </c>
      <c r="M1361" s="48">
        <f>VLOOKUP($B1346,[10]Complaints!$A$4:$AJ$39,12,)</f>
        <v>1</v>
      </c>
      <c r="N1361" s="48">
        <f>VLOOKUP($B1346,[11]Complaints!$A$4:$AJ$39,12,)</f>
        <v>0</v>
      </c>
      <c r="O1361" s="49">
        <f>VLOOKUP($B1346,[12]Complaints!$A$4:$AJ$39,12,)</f>
        <v>0</v>
      </c>
      <c r="P1361" s="55">
        <f t="shared" si="358"/>
        <v>2</v>
      </c>
      <c r="Q1361" s="50">
        <f>IF(P1361=0,"",P1361/$P1348)</f>
        <v>0.14285714285714285</v>
      </c>
    </row>
    <row r="1362" spans="1:19" ht="15.75" customHeight="1" x14ac:dyDescent="0.2">
      <c r="B1362" s="169"/>
      <c r="C1362" s="31" t="s">
        <v>78</v>
      </c>
      <c r="D1362" s="47">
        <f>VLOOKUP($B1346,[1]Complaints!$A$4:$AJ$39,13,)</f>
        <v>0</v>
      </c>
      <c r="E1362" s="48">
        <f>VLOOKUP($B1346,[2]Complaints!$A$4:$AJ$39,13,)</f>
        <v>0</v>
      </c>
      <c r="F1362" s="48">
        <f>VLOOKUP($B1346,[3]Complaints!$A$4:$AJ$39,13,)</f>
        <v>0</v>
      </c>
      <c r="G1362" s="48">
        <f>VLOOKUP($B1346,[4]Complaints!$A$4:$AJ$39,13,)</f>
        <v>0</v>
      </c>
      <c r="H1362" s="48">
        <f>VLOOKUP($B1346,[5]Complaints!$A$4:$AJ$39,13,)</f>
        <v>0</v>
      </c>
      <c r="I1362" s="48">
        <f>VLOOKUP($B1346,[6]Complaints!$A$4:$AJ$39,13,)</f>
        <v>1</v>
      </c>
      <c r="J1362" s="48">
        <f>VLOOKUP($B1346,[7]Complaints!$A$4:$AJ$39,13,)</f>
        <v>0</v>
      </c>
      <c r="K1362" s="48">
        <f>VLOOKUP($B1346,[8]Complaints!$A$4:$AJ$39,13,)</f>
        <v>0</v>
      </c>
      <c r="L1362" s="48">
        <f>VLOOKUP($B1346,[9]Complaints!$A$4:$AJ$39,13,)</f>
        <v>0</v>
      </c>
      <c r="M1362" s="48">
        <f>VLOOKUP($B1346,[10]Complaints!$A$4:$AJ$39,13,)</f>
        <v>0</v>
      </c>
      <c r="N1362" s="48">
        <f>VLOOKUP($B1346,[11]Complaints!$A$4:$AJ$39,13,)</f>
        <v>0</v>
      </c>
      <c r="O1362" s="49">
        <f>VLOOKUP($B1346,[12]Complaints!$A$4:$AJ$39,13,)</f>
        <v>0</v>
      </c>
      <c r="P1362" s="55">
        <f t="shared" si="358"/>
        <v>1</v>
      </c>
      <c r="Q1362" s="50">
        <f>IF(P1362=0,"",P1362/$P1348)</f>
        <v>7.1428571428571425E-2</v>
      </c>
      <c r="R1362" s="18"/>
    </row>
    <row r="1363" spans="1:19" ht="15.75" customHeight="1" x14ac:dyDescent="0.2">
      <c r="B1363" s="169"/>
      <c r="C1363" s="31" t="s">
        <v>92</v>
      </c>
      <c r="D1363" s="47">
        <f>VLOOKUP($B1346,[1]Complaints!$A$4:$AJ$39,14,)</f>
        <v>0</v>
      </c>
      <c r="E1363" s="48">
        <f>VLOOKUP($B1346,[2]Complaints!$A$4:$AJ$39,14,)</f>
        <v>0</v>
      </c>
      <c r="F1363" s="48">
        <f>VLOOKUP($B1346,[3]Complaints!$A$4:$AJ$39,14,)</f>
        <v>0</v>
      </c>
      <c r="G1363" s="48">
        <f>VLOOKUP($B1346,[4]Complaints!$A$4:$AJ$39,14,)</f>
        <v>0</v>
      </c>
      <c r="H1363" s="48">
        <f>VLOOKUP($B1346,[5]Complaints!$A$4:$AJ$39,14,)</f>
        <v>0</v>
      </c>
      <c r="I1363" s="48">
        <f>VLOOKUP($B1346,[6]Complaints!$A$4:$AJ$39,14,)</f>
        <v>0</v>
      </c>
      <c r="J1363" s="48">
        <f>VLOOKUP($B1346,[7]Complaints!$A$4:$AJ$39,14,)</f>
        <v>0</v>
      </c>
      <c r="K1363" s="48">
        <f>VLOOKUP($B1346,[8]Complaints!$A$4:$AJ$39,14,)</f>
        <v>0</v>
      </c>
      <c r="L1363" s="48">
        <f>VLOOKUP($B1346,[9]Complaints!$A$4:$AJ$39,14,)</f>
        <v>0</v>
      </c>
      <c r="M1363" s="48">
        <f>VLOOKUP($B1346,[10]Complaints!$A$4:$AJ$39,14,)</f>
        <v>0</v>
      </c>
      <c r="N1363" s="48">
        <f>VLOOKUP($B1346,[11]Complaints!$A$4:$AJ$39,14,)</f>
        <v>0</v>
      </c>
      <c r="O1363" s="49">
        <f>VLOOKUP($B1346,[12]Complaints!$A$4:$AJ$39,14,)</f>
        <v>0</v>
      </c>
      <c r="P1363" s="55">
        <f t="shared" si="358"/>
        <v>0</v>
      </c>
      <c r="Q1363" s="50" t="str">
        <f>IF(P1363=0,"",P1363/$P1348)</f>
        <v/>
      </c>
      <c r="R1363" s="18"/>
    </row>
    <row r="1364" spans="1:19" ht="15.75" customHeight="1" x14ac:dyDescent="0.2">
      <c r="B1364" s="169"/>
      <c r="C1364" s="31" t="s">
        <v>91</v>
      </c>
      <c r="D1364" s="47">
        <f>VLOOKUP($B1346,[1]Complaints!$A$4:$AJ$39,15,)</f>
        <v>0</v>
      </c>
      <c r="E1364" s="48">
        <f>VLOOKUP($B1346,[2]Complaints!$A$4:$AJ$39,15,)</f>
        <v>0</v>
      </c>
      <c r="F1364" s="48">
        <f>VLOOKUP($B1346,[3]Complaints!$A$4:$AJ$39,15,)</f>
        <v>0</v>
      </c>
      <c r="G1364" s="48">
        <f>VLOOKUP($B1346,[4]Complaints!$A$4:$AJ$39,15,)</f>
        <v>0</v>
      </c>
      <c r="H1364" s="48">
        <f>VLOOKUP($B1346,[5]Complaints!$A$4:$AJ$39,15,)</f>
        <v>0</v>
      </c>
      <c r="I1364" s="48">
        <f>VLOOKUP($B1346,[6]Complaints!$A$4:$AJ$39,15,)</f>
        <v>0</v>
      </c>
      <c r="J1364" s="48">
        <f>VLOOKUP($B1346,[7]Complaints!$A$4:$AJ$39,15,)</f>
        <v>0</v>
      </c>
      <c r="K1364" s="48">
        <f>VLOOKUP($B1346,[8]Complaints!$A$4:$AJ$39,15,)</f>
        <v>0</v>
      </c>
      <c r="L1364" s="48">
        <f>VLOOKUP($B1346,[9]Complaints!$A$4:$AJ$39,15,)</f>
        <v>0</v>
      </c>
      <c r="M1364" s="48">
        <f>VLOOKUP($B1346,[10]Complaints!$A$4:$AJ$39,15,)</f>
        <v>0</v>
      </c>
      <c r="N1364" s="48">
        <f>VLOOKUP($B1346,[11]Complaints!$A$4:$AJ$39,15,)</f>
        <v>0</v>
      </c>
      <c r="O1364" s="49">
        <f>VLOOKUP($B1346,[12]Complaints!$A$4:$AJ$39,15,)</f>
        <v>0</v>
      </c>
      <c r="P1364" s="55">
        <f t="shared" si="358"/>
        <v>0</v>
      </c>
      <c r="Q1364" s="50" t="str">
        <f>IF(P1364=0,"",P1364/$P1348)</f>
        <v/>
      </c>
      <c r="R1364" s="18"/>
    </row>
    <row r="1365" spans="1:19" ht="15.75" customHeight="1" x14ac:dyDescent="0.2">
      <c r="B1365" s="169"/>
      <c r="C1365" s="31" t="s">
        <v>79</v>
      </c>
      <c r="D1365" s="47">
        <f>VLOOKUP($B1346,[1]Complaints!$A$4:$AJ$39,16,)</f>
        <v>0</v>
      </c>
      <c r="E1365" s="48">
        <f>VLOOKUP($B1346,[2]Complaints!$A$4:$AJ$39,16,)</f>
        <v>0</v>
      </c>
      <c r="F1365" s="48">
        <f>VLOOKUP($B1346,[3]Complaints!$A$4:$AJ$39,16,)</f>
        <v>0</v>
      </c>
      <c r="G1365" s="48">
        <f>VLOOKUP($B1346,[4]Complaints!$A$4:$AJ$39,16,)</f>
        <v>0</v>
      </c>
      <c r="H1365" s="48">
        <f>VLOOKUP($B1346,[5]Complaints!$A$4:$AJ$39,16,)</f>
        <v>0</v>
      </c>
      <c r="I1365" s="48">
        <f>VLOOKUP($B1346,[6]Complaints!$A$4:$AJ$39,16,)</f>
        <v>0</v>
      </c>
      <c r="J1365" s="48">
        <f>VLOOKUP($B1346,[7]Complaints!$A$4:$AJ$39,16,)</f>
        <v>0</v>
      </c>
      <c r="K1365" s="48">
        <f>VLOOKUP($B1346,[8]Complaints!$A$4:$AJ$39,16,)</f>
        <v>0</v>
      </c>
      <c r="L1365" s="48">
        <f>VLOOKUP($B1346,[9]Complaints!$A$4:$AJ$39,16,)</f>
        <v>0</v>
      </c>
      <c r="M1365" s="48">
        <f>VLOOKUP($B1346,[10]Complaints!$A$4:$AJ$39,16,)</f>
        <v>0</v>
      </c>
      <c r="N1365" s="48">
        <f>VLOOKUP($B1346,[11]Complaints!$A$4:$AJ$39,16,)</f>
        <v>0</v>
      </c>
      <c r="O1365" s="49">
        <f>VLOOKUP($B1346,[12]Complaints!$A$4:$AJ$39,16,)</f>
        <v>0</v>
      </c>
      <c r="P1365" s="55">
        <f t="shared" si="358"/>
        <v>0</v>
      </c>
      <c r="Q1365" s="50" t="str">
        <f>IF(P1365=0,"",P1365/$P1348)</f>
        <v/>
      </c>
      <c r="R1365" s="18"/>
    </row>
    <row r="1366" spans="1:19" ht="15.75" customHeight="1" x14ac:dyDescent="0.2">
      <c r="B1366" s="169"/>
      <c r="C1366" s="31" t="s">
        <v>80</v>
      </c>
      <c r="D1366" s="47">
        <f>VLOOKUP($B1346,[1]Complaints!$A$4:$AJ$39,17,)</f>
        <v>0</v>
      </c>
      <c r="E1366" s="48">
        <f>VLOOKUP($B1346,[2]Complaints!$A$4:$AJ$39,17,)</f>
        <v>0</v>
      </c>
      <c r="F1366" s="48">
        <f>VLOOKUP($B1346,[3]Complaints!$A$4:$AJ$39,17,)</f>
        <v>0</v>
      </c>
      <c r="G1366" s="48">
        <f>VLOOKUP($B1346,[4]Complaints!$A$4:$AJ$39,17,)</f>
        <v>0</v>
      </c>
      <c r="H1366" s="48">
        <f>VLOOKUP($B1346,[5]Complaints!$A$4:$AJ$39,17,)</f>
        <v>0</v>
      </c>
      <c r="I1366" s="48">
        <f>VLOOKUP($B1346,[6]Complaints!$A$4:$AJ$39,17,)</f>
        <v>0</v>
      </c>
      <c r="J1366" s="48">
        <f>VLOOKUP($B1346,[7]Complaints!$A$4:$AJ$39,17,)</f>
        <v>0</v>
      </c>
      <c r="K1366" s="48">
        <f>VLOOKUP($B1346,[8]Complaints!$A$4:$AJ$39,17,)</f>
        <v>0</v>
      </c>
      <c r="L1366" s="48">
        <f>VLOOKUP($B1346,[9]Complaints!$A$4:$AJ$39,17,)</f>
        <v>0</v>
      </c>
      <c r="M1366" s="48">
        <f>VLOOKUP($B1346,[10]Complaints!$A$4:$AJ$39,17,)</f>
        <v>0</v>
      </c>
      <c r="N1366" s="48">
        <f>VLOOKUP($B1346,[11]Complaints!$A$4:$AJ$39,17,)</f>
        <v>0</v>
      </c>
      <c r="O1366" s="49">
        <f>VLOOKUP($B1346,[12]Complaints!$A$4:$AJ$39,17,)</f>
        <v>0</v>
      </c>
      <c r="P1366" s="55">
        <f t="shared" si="358"/>
        <v>0</v>
      </c>
      <c r="Q1366" s="50" t="str">
        <f>IF(P1366=0,"",P1366/$P1348)</f>
        <v/>
      </c>
      <c r="R1366" s="18"/>
    </row>
    <row r="1367" spans="1:19" ht="15.75" customHeight="1" x14ac:dyDescent="0.2">
      <c r="B1367" s="169"/>
      <c r="C1367" s="31" t="s">
        <v>81</v>
      </c>
      <c r="D1367" s="47">
        <f>VLOOKUP($B1346,[1]Complaints!$A$4:$AJ$39,18,)</f>
        <v>0</v>
      </c>
      <c r="E1367" s="48">
        <f>VLOOKUP($B1346,[2]Complaints!$A$4:$AJ$39,18,)</f>
        <v>0</v>
      </c>
      <c r="F1367" s="48">
        <f>VLOOKUP($B1346,[3]Complaints!$A$4:$AJ$39,18,)</f>
        <v>0</v>
      </c>
      <c r="G1367" s="48">
        <f>VLOOKUP($B1346,[4]Complaints!$A$4:$AJ$39,18,)</f>
        <v>0</v>
      </c>
      <c r="H1367" s="48">
        <f>VLOOKUP($B1346,[5]Complaints!$A$4:$AJ$39,18,)</f>
        <v>0</v>
      </c>
      <c r="I1367" s="48">
        <f>VLOOKUP($B1346,[6]Complaints!$A$4:$AJ$39,18,)</f>
        <v>0</v>
      </c>
      <c r="J1367" s="48">
        <f>VLOOKUP($B1346,[7]Complaints!$A$4:$AJ$39,18,)</f>
        <v>0</v>
      </c>
      <c r="K1367" s="48">
        <f>VLOOKUP($B1346,[8]Complaints!$A$4:$AJ$39,18,)</f>
        <v>0</v>
      </c>
      <c r="L1367" s="48">
        <f>VLOOKUP($B1346,[9]Complaints!$A$4:$AJ$39,18,)</f>
        <v>0</v>
      </c>
      <c r="M1367" s="48">
        <f>VLOOKUP($B1346,[10]Complaints!$A$4:$AJ$39,18,)</f>
        <v>0</v>
      </c>
      <c r="N1367" s="48">
        <f>VLOOKUP($B1346,[11]Complaints!$A$4:$AJ$39,18,)</f>
        <v>0</v>
      </c>
      <c r="O1367" s="49">
        <f>VLOOKUP($B1346,[12]Complaints!$A$4:$AJ$39,18,)</f>
        <v>0</v>
      </c>
      <c r="P1367" s="55">
        <f t="shared" si="358"/>
        <v>0</v>
      </c>
      <c r="Q1367" s="50" t="str">
        <f>IF(P1367=0,"",P1367/$P1348)</f>
        <v/>
      </c>
      <c r="R1367" s="18"/>
    </row>
    <row r="1368" spans="1:19" ht="15.75" customHeight="1" x14ac:dyDescent="0.2">
      <c r="B1368" s="169"/>
      <c r="C1368" s="31" t="s">
        <v>82</v>
      </c>
      <c r="D1368" s="47">
        <f>VLOOKUP($B1346,[1]Complaints!$A$4:$AJ$39,19,)</f>
        <v>0</v>
      </c>
      <c r="E1368" s="48">
        <f>VLOOKUP($B1346,[2]Complaints!$A$4:$AJ$39,19,)</f>
        <v>0</v>
      </c>
      <c r="F1368" s="48">
        <f>VLOOKUP($B1346,[3]Complaints!$A$4:$AJ$39,19,)</f>
        <v>0</v>
      </c>
      <c r="G1368" s="48">
        <f>VLOOKUP($B1346,[4]Complaints!$A$4:$AJ$39,19,)</f>
        <v>0</v>
      </c>
      <c r="H1368" s="48">
        <f>VLOOKUP($B1346,[5]Complaints!$A$4:$AJ$39,19,)</f>
        <v>0</v>
      </c>
      <c r="I1368" s="48">
        <f>VLOOKUP($B1346,[6]Complaints!$A$4:$AJ$39,19,)</f>
        <v>0</v>
      </c>
      <c r="J1368" s="48">
        <f>VLOOKUP($B1346,[7]Complaints!$A$4:$AJ$39,19,)</f>
        <v>0</v>
      </c>
      <c r="K1368" s="48">
        <f>VLOOKUP($B1346,[8]Complaints!$A$4:$AJ$39,19,)</f>
        <v>0</v>
      </c>
      <c r="L1368" s="48">
        <f>VLOOKUP($B1346,[9]Complaints!$A$4:$AJ$39,19,)</f>
        <v>0</v>
      </c>
      <c r="M1368" s="48">
        <f>VLOOKUP($B1346,[10]Complaints!$A$4:$AJ$39,19,)</f>
        <v>0</v>
      </c>
      <c r="N1368" s="48">
        <f>VLOOKUP($B1346,[11]Complaints!$A$4:$AJ$39,19,)</f>
        <v>0</v>
      </c>
      <c r="O1368" s="49">
        <f>VLOOKUP($B1346,[12]Complaints!$A$4:$AJ$39,19,)</f>
        <v>0</v>
      </c>
      <c r="P1368" s="55">
        <f t="shared" si="358"/>
        <v>0</v>
      </c>
      <c r="Q1368" s="50" t="str">
        <f>IF(P1368=0,"",P1368/$P1348)</f>
        <v/>
      </c>
      <c r="R1368" s="18"/>
    </row>
    <row r="1369" spans="1:19" ht="15.75" customHeight="1" thickBot="1" x14ac:dyDescent="0.25">
      <c r="B1369" s="170"/>
      <c r="C1369" s="31" t="s">
        <v>83</v>
      </c>
      <c r="D1369" s="47">
        <f>VLOOKUP($B1346,[1]Complaints!$A$4:$AJ$39,20,)</f>
        <v>0</v>
      </c>
      <c r="E1369" s="48">
        <f>VLOOKUP($B1346,[2]Complaints!$A$4:$AJ$39,20,)</f>
        <v>0</v>
      </c>
      <c r="F1369" s="48">
        <f>VLOOKUP($B1346,[3]Complaints!$A$4:$AJ$39,20,)</f>
        <v>0</v>
      </c>
      <c r="G1369" s="48">
        <f>VLOOKUP($B1346,[4]Complaints!$A$4:$AJ$39,20,)</f>
        <v>0</v>
      </c>
      <c r="H1369" s="48">
        <f>VLOOKUP($B1346,[5]Complaints!$A$4:$AJ$39,20,)</f>
        <v>0</v>
      </c>
      <c r="I1369" s="48">
        <f>VLOOKUP($B1346,[6]Complaints!$A$4:$AJ$39,20,)</f>
        <v>0</v>
      </c>
      <c r="J1369" s="48">
        <f>VLOOKUP($B1346,[7]Complaints!$A$4:$AJ$39,20,)</f>
        <v>0</v>
      </c>
      <c r="K1369" s="48">
        <f>VLOOKUP($B1346,[8]Complaints!$A$4:$AJ$39,20,)</f>
        <v>0</v>
      </c>
      <c r="L1369" s="48">
        <f>VLOOKUP($B1346,[9]Complaints!$A$4:$AJ$39,20,)</f>
        <v>0</v>
      </c>
      <c r="M1369" s="48">
        <f>VLOOKUP($B1346,[10]Complaints!$A$4:$AJ$39,20,)</f>
        <v>0</v>
      </c>
      <c r="N1369" s="48">
        <f>VLOOKUP($B1346,[11]Complaints!$A$4:$AJ$39,20,)</f>
        <v>0</v>
      </c>
      <c r="O1369" s="49">
        <f>VLOOKUP($B1346,[12]Complaints!$A$4:$AJ$39,20,)</f>
        <v>0</v>
      </c>
      <c r="P1369" s="55">
        <f t="shared" si="358"/>
        <v>0</v>
      </c>
      <c r="Q1369" s="50" t="str">
        <f>IF(P1369=0,"",P1369/$P1348)</f>
        <v/>
      </c>
      <c r="R1369" s="18"/>
    </row>
    <row r="1370" spans="1:19" ht="15.75" customHeight="1" x14ac:dyDescent="0.2">
      <c r="B1370" s="144" t="s">
        <v>90</v>
      </c>
      <c r="C1370" s="37" t="s">
        <v>118</v>
      </c>
      <c r="D1370" s="62">
        <f>VLOOKUP($B1346,[1]Complaints!$A$4:$AJ$39,21,)</f>
        <v>0</v>
      </c>
      <c r="E1370" s="63">
        <f>VLOOKUP($B1346,[2]Complaints!$A$4:$AJ$39,21,)</f>
        <v>1</v>
      </c>
      <c r="F1370" s="63">
        <f>VLOOKUP($B1346,[3]Complaints!$A$4:$AJ$39,21,)</f>
        <v>0</v>
      </c>
      <c r="G1370" s="63">
        <f>VLOOKUP($B1346,[4]Complaints!$A$4:$AJ$39,21,)</f>
        <v>0</v>
      </c>
      <c r="H1370" s="63">
        <f>VLOOKUP($B1346,[5]Complaints!$A$4:$AJ$39,21,)</f>
        <v>0</v>
      </c>
      <c r="I1370" s="63">
        <f>VLOOKUP($B1346,[6]Complaints!$A$4:$AJ$39,21,)</f>
        <v>1</v>
      </c>
      <c r="J1370" s="63">
        <f>VLOOKUP($B1346,[7]Complaints!$A$4:$AJ$39,21,)</f>
        <v>1</v>
      </c>
      <c r="K1370" s="63">
        <f>VLOOKUP($B1346,[8]Complaints!$A$4:$AJ$39,21,)</f>
        <v>1</v>
      </c>
      <c r="L1370" s="63">
        <f>VLOOKUP($B1346,[9]Complaints!$A$4:$AJ$39,21,)</f>
        <v>0</v>
      </c>
      <c r="M1370" s="63">
        <f>VLOOKUP($B1346,[10]Complaints!$A$4:$AJ$39,21,)</f>
        <v>1</v>
      </c>
      <c r="N1370" s="63">
        <f>VLOOKUP($B1346,[11]Complaints!$A$4:$AJ$39,21,)</f>
        <v>0</v>
      </c>
      <c r="O1370" s="64">
        <f>VLOOKUP($B1346,[12]Complaints!$A$4:$AJ$39,21,)</f>
        <v>0</v>
      </c>
      <c r="P1370" s="65">
        <f>SUM(D1370:O1370)</f>
        <v>5</v>
      </c>
      <c r="Q1370" s="46">
        <f>IF(P1370=0,"",P1370/$P1354)</f>
        <v>1</v>
      </c>
      <c r="R1370" s="18"/>
    </row>
    <row r="1371" spans="1:19" ht="15.75" customHeight="1" x14ac:dyDescent="0.2">
      <c r="B1371" s="145"/>
      <c r="C1371" s="38" t="s">
        <v>77</v>
      </c>
      <c r="D1371" s="66">
        <f>VLOOKUP($B1346,[1]Complaints!$A$4:$AJ$39,22,)</f>
        <v>0</v>
      </c>
      <c r="E1371" s="67">
        <f>VLOOKUP($B1346,[2]Complaints!$A$4:$AJ$39,22,)</f>
        <v>0</v>
      </c>
      <c r="F1371" s="67">
        <f>VLOOKUP($B1346,[3]Complaints!$A$4:$AJ$39,22,)</f>
        <v>0</v>
      </c>
      <c r="G1371" s="67">
        <f>VLOOKUP($B1346,[4]Complaints!$A$4:$AJ$39,22,)</f>
        <v>0</v>
      </c>
      <c r="H1371" s="67">
        <f>VLOOKUP($B1346,[5]Complaints!$A$4:$AJ$39,22,)</f>
        <v>0</v>
      </c>
      <c r="I1371" s="67">
        <f>VLOOKUP($B1346,[6]Complaints!$A$4:$AJ$39,22,)</f>
        <v>0</v>
      </c>
      <c r="J1371" s="67">
        <f>VLOOKUP($B1346,[7]Complaints!$A$4:$AJ$39,22,)</f>
        <v>0</v>
      </c>
      <c r="K1371" s="67">
        <f>VLOOKUP($B1346,[8]Complaints!$A$4:$AJ$39,22,)</f>
        <v>0</v>
      </c>
      <c r="L1371" s="67">
        <f>VLOOKUP($B1346,[9]Complaints!$A$4:$AJ$39,22,)</f>
        <v>0</v>
      </c>
      <c r="M1371" s="67">
        <f>VLOOKUP($B1346,[10]Complaints!$A$4:$AJ$39,22,)</f>
        <v>0</v>
      </c>
      <c r="N1371" s="67">
        <f>VLOOKUP($B1346,[11]Complaints!$A$4:$AJ$39,22,)</f>
        <v>0</v>
      </c>
      <c r="O1371" s="68">
        <f>VLOOKUP($B1346,[12]Complaints!$A$4:$AJ$39,22,)</f>
        <v>0</v>
      </c>
      <c r="P1371" s="69">
        <f t="shared" ref="P1371:P1385" si="359">SUM(D1371:O1371)</f>
        <v>0</v>
      </c>
      <c r="Q1371" s="70" t="str">
        <f>IF(P1371=0,"",P1371/$P1354)</f>
        <v/>
      </c>
      <c r="R1371" s="18"/>
    </row>
    <row r="1372" spans="1:19" ht="15.75" customHeight="1" x14ac:dyDescent="0.2">
      <c r="B1372" s="145"/>
      <c r="C1372" s="38" t="s">
        <v>108</v>
      </c>
      <c r="D1372" s="66">
        <f>VLOOKUP($B1346,[1]Complaints!$A$4:$AJ$39,23,)</f>
        <v>0</v>
      </c>
      <c r="E1372" s="67">
        <f>VLOOKUP($B1346,[2]Complaints!$A$4:$AJ$39,23,)</f>
        <v>0</v>
      </c>
      <c r="F1372" s="67">
        <f>VLOOKUP($B1346,[3]Complaints!$A$4:$AJ$39,23,)</f>
        <v>0</v>
      </c>
      <c r="G1372" s="67">
        <f>VLOOKUP($B1346,[4]Complaints!$A$4:$AJ$39,23,)</f>
        <v>0</v>
      </c>
      <c r="H1372" s="67">
        <f>VLOOKUP($B1346,[5]Complaints!$A$4:$AJ$39,23,)</f>
        <v>0</v>
      </c>
      <c r="I1372" s="67">
        <f>VLOOKUP($B1346,[6]Complaints!$A$4:$AJ$39,23,)</f>
        <v>1</v>
      </c>
      <c r="J1372" s="67">
        <f>VLOOKUP($B1346,[7]Complaints!$A$4:$AJ$39,23,)</f>
        <v>0</v>
      </c>
      <c r="K1372" s="67">
        <f>VLOOKUP($B1346,[8]Complaints!$A$4:$AJ$39,23,)</f>
        <v>0</v>
      </c>
      <c r="L1372" s="67">
        <f>VLOOKUP($B1346,[9]Complaints!$A$4:$AJ$39,23,)</f>
        <v>0</v>
      </c>
      <c r="M1372" s="67">
        <f>VLOOKUP($B1346,[10]Complaints!$A$4:$AJ$39,23,)</f>
        <v>0</v>
      </c>
      <c r="N1372" s="67">
        <f>VLOOKUP($B1346,[11]Complaints!$A$4:$AJ$39,23,)</f>
        <v>0</v>
      </c>
      <c r="O1372" s="68">
        <f>VLOOKUP($B1346,[12]Complaints!$A$4:$AJ$39,23,)</f>
        <v>0</v>
      </c>
      <c r="P1372" s="69">
        <f t="shared" si="359"/>
        <v>1</v>
      </c>
      <c r="Q1372" s="70">
        <f>IF(P1372=0,"",P1372/$P1354)</f>
        <v>0.2</v>
      </c>
      <c r="R1372" s="18"/>
    </row>
    <row r="1373" spans="1:19" ht="15.75" customHeight="1" x14ac:dyDescent="0.2">
      <c r="B1373" s="145"/>
      <c r="C1373" s="38" t="s">
        <v>88</v>
      </c>
      <c r="D1373" s="66">
        <f>VLOOKUP($B1346,[1]Complaints!$A$4:$AJ$39,24,)</f>
        <v>0</v>
      </c>
      <c r="E1373" s="67">
        <f>VLOOKUP($B1346,[2]Complaints!$A$4:$AJ$39,24,)</f>
        <v>0</v>
      </c>
      <c r="F1373" s="67">
        <f>VLOOKUP($B1346,[3]Complaints!$A$4:$AJ$39,24,)</f>
        <v>0</v>
      </c>
      <c r="G1373" s="67">
        <f>VLOOKUP($B1346,[4]Complaints!$A$4:$AJ$39,24,)</f>
        <v>0</v>
      </c>
      <c r="H1373" s="67">
        <f>VLOOKUP($B1346,[5]Complaints!$A$4:$AJ$39,24,)</f>
        <v>0</v>
      </c>
      <c r="I1373" s="67">
        <f>VLOOKUP($B1346,[6]Complaints!$A$4:$AJ$39,24,)</f>
        <v>0</v>
      </c>
      <c r="J1373" s="67">
        <f>VLOOKUP($B1346,[7]Complaints!$A$4:$AJ$39,24,)</f>
        <v>0</v>
      </c>
      <c r="K1373" s="67">
        <f>VLOOKUP($B1346,[8]Complaints!$A$4:$AJ$39,24,)</f>
        <v>0</v>
      </c>
      <c r="L1373" s="67">
        <f>VLOOKUP($B1346,[9]Complaints!$A$4:$AJ$39,24,)</f>
        <v>0</v>
      </c>
      <c r="M1373" s="67">
        <f>VLOOKUP($B1346,[10]Complaints!$A$4:$AJ$39,24,)</f>
        <v>0</v>
      </c>
      <c r="N1373" s="67">
        <f>VLOOKUP($B1346,[11]Complaints!$A$4:$AJ$39,24,)</f>
        <v>0</v>
      </c>
      <c r="O1373" s="68">
        <f>VLOOKUP($B1346,[12]Complaints!$A$4:$AJ$39,24,)</f>
        <v>0</v>
      </c>
      <c r="P1373" s="69">
        <f t="shared" si="359"/>
        <v>0</v>
      </c>
      <c r="Q1373" s="70" t="str">
        <f>IF(P1373=0,"",P1373/$P1354)</f>
        <v/>
      </c>
      <c r="R1373" s="18"/>
    </row>
    <row r="1374" spans="1:19" ht="15.75" customHeight="1" x14ac:dyDescent="0.2">
      <c r="B1374" s="145"/>
      <c r="C1374" s="38" t="s">
        <v>109</v>
      </c>
      <c r="D1374" s="66">
        <f>VLOOKUP($B1346,[1]Complaints!$A$4:$AJ$39,25,)</f>
        <v>0</v>
      </c>
      <c r="E1374" s="67">
        <f>VLOOKUP($B1346,[2]Complaints!$A$4:$AJ$39,25,)</f>
        <v>0</v>
      </c>
      <c r="F1374" s="67">
        <f>VLOOKUP($B1346,[3]Complaints!$A$4:$AJ$39,25,)</f>
        <v>0</v>
      </c>
      <c r="G1374" s="67">
        <f>VLOOKUP($B1346,[4]Complaints!$A$4:$AJ$39,25,)</f>
        <v>0</v>
      </c>
      <c r="H1374" s="67">
        <f>VLOOKUP($B1346,[5]Complaints!$A$4:$AJ$39,25,)</f>
        <v>0</v>
      </c>
      <c r="I1374" s="67">
        <f>VLOOKUP($B1346,[6]Complaints!$A$4:$AJ$39,25,)</f>
        <v>0</v>
      </c>
      <c r="J1374" s="67">
        <f>VLOOKUP($B1346,[7]Complaints!$A$4:$AJ$39,25,)</f>
        <v>0</v>
      </c>
      <c r="K1374" s="67">
        <f>VLOOKUP($B1346,[8]Complaints!$A$4:$AJ$39,25,)</f>
        <v>0</v>
      </c>
      <c r="L1374" s="67">
        <f>VLOOKUP($B1346,[9]Complaints!$A$4:$AJ$39,25,)</f>
        <v>0</v>
      </c>
      <c r="M1374" s="67">
        <f>VLOOKUP($B1346,[10]Complaints!$A$4:$AJ$39,25,)</f>
        <v>0</v>
      </c>
      <c r="N1374" s="67">
        <f>VLOOKUP($B1346,[11]Complaints!$A$4:$AJ$39,25,)</f>
        <v>0</v>
      </c>
      <c r="O1374" s="68">
        <f>VLOOKUP($B1346,[12]Complaints!$A$4:$AJ$39,25,)</f>
        <v>0</v>
      </c>
      <c r="P1374" s="69">
        <f t="shared" si="359"/>
        <v>0</v>
      </c>
      <c r="Q1374" s="70" t="str">
        <f>IF(P1374=0,"",P1374/$P1354)</f>
        <v/>
      </c>
      <c r="R1374" s="18"/>
    </row>
    <row r="1375" spans="1:19" ht="15.75" customHeight="1" x14ac:dyDescent="0.2">
      <c r="A1375" s="21"/>
      <c r="B1375" s="145"/>
      <c r="C1375" s="38" t="s">
        <v>110</v>
      </c>
      <c r="D1375" s="66">
        <f>VLOOKUP($B1346,[1]Complaints!$A$4:$AJ$39,26,)</f>
        <v>0</v>
      </c>
      <c r="E1375" s="67">
        <f>VLOOKUP($B1346,[2]Complaints!$A$4:$AJ$39,26,)</f>
        <v>1</v>
      </c>
      <c r="F1375" s="67">
        <f>VLOOKUP($B1346,[3]Complaints!$A$4:$AJ$39,26,)</f>
        <v>0</v>
      </c>
      <c r="G1375" s="67">
        <f>VLOOKUP($B1346,[4]Complaints!$A$4:$AJ$39,26,)</f>
        <v>0</v>
      </c>
      <c r="H1375" s="67">
        <f>VLOOKUP($B1346,[5]Complaints!$A$4:$AJ$39,26,)</f>
        <v>0</v>
      </c>
      <c r="I1375" s="67">
        <f>VLOOKUP($B1346,[6]Complaints!$A$4:$AJ$39,26,)</f>
        <v>0</v>
      </c>
      <c r="J1375" s="67">
        <f>VLOOKUP($B1346,[7]Complaints!$A$4:$AJ$39,26,)</f>
        <v>0</v>
      </c>
      <c r="K1375" s="67">
        <f>VLOOKUP($B1346,[8]Complaints!$A$4:$AJ$39,26,)</f>
        <v>0</v>
      </c>
      <c r="L1375" s="67">
        <f>VLOOKUP($B1346,[9]Complaints!$A$4:$AJ$39,26,)</f>
        <v>0</v>
      </c>
      <c r="M1375" s="67">
        <f>VLOOKUP($B1346,[10]Complaints!$A$4:$AJ$39,26,)</f>
        <v>0</v>
      </c>
      <c r="N1375" s="67">
        <f>VLOOKUP($B1346,[11]Complaints!$A$4:$AJ$39,26,)</f>
        <v>0</v>
      </c>
      <c r="O1375" s="68">
        <f>VLOOKUP($B1346,[12]Complaints!$A$4:$AJ$39,26,)</f>
        <v>0</v>
      </c>
      <c r="P1375" s="69">
        <f t="shared" si="359"/>
        <v>1</v>
      </c>
      <c r="Q1375" s="70">
        <f>IF(P1375=0,"",P1375/$P1354)</f>
        <v>0.2</v>
      </c>
      <c r="R1375" s="18"/>
    </row>
    <row r="1376" spans="1:19" s="21" customFormat="1" ht="15.75" customHeight="1" x14ac:dyDescent="0.2">
      <c r="B1376" s="145"/>
      <c r="C1376" s="39" t="s">
        <v>107</v>
      </c>
      <c r="D1376" s="71">
        <f>VLOOKUP($B1346,[1]Complaints!$A$4:$AJ$39,27,)</f>
        <v>0</v>
      </c>
      <c r="E1376" s="72">
        <f>VLOOKUP($B1346,[2]Complaints!$A$4:$AJ$39,27,)</f>
        <v>0</v>
      </c>
      <c r="F1376" s="72">
        <f>VLOOKUP($B1346,[3]Complaints!$A$4:$AJ$39,27,)</f>
        <v>0</v>
      </c>
      <c r="G1376" s="72">
        <f>VLOOKUP($B1346,[4]Complaints!$A$4:$AJ$39,27,)</f>
        <v>0</v>
      </c>
      <c r="H1376" s="72">
        <f>VLOOKUP($B1346,[5]Complaints!$A$4:$AJ$39,27,)</f>
        <v>0</v>
      </c>
      <c r="I1376" s="72">
        <f>VLOOKUP($B1346,[6]Complaints!$A$4:$AJ$39,27,)</f>
        <v>0</v>
      </c>
      <c r="J1376" s="72">
        <f>VLOOKUP($B1346,[7]Complaints!$A$4:$AJ$39,27,)</f>
        <v>1</v>
      </c>
      <c r="K1376" s="72">
        <f>VLOOKUP($B1346,[8]Complaints!$A$4:$AJ$39,27,)</f>
        <v>1</v>
      </c>
      <c r="L1376" s="72">
        <f>VLOOKUP($B1346,[9]Complaints!$A$4:$AJ$39,27,)</f>
        <v>0</v>
      </c>
      <c r="M1376" s="72">
        <f>VLOOKUP($B1346,[10]Complaints!$A$4:$AJ$39,27,)</f>
        <v>0</v>
      </c>
      <c r="N1376" s="72">
        <f>VLOOKUP($B1346,[11]Complaints!$A$4:$AJ$39,27,)</f>
        <v>0</v>
      </c>
      <c r="O1376" s="73">
        <f>VLOOKUP($B1346,[12]Complaints!$A$4:$AJ$39,27,)</f>
        <v>0</v>
      </c>
      <c r="P1376" s="69">
        <f t="shared" si="359"/>
        <v>2</v>
      </c>
      <c r="Q1376" s="70">
        <f>IF(P1376=0,"",P1376/$P1354)</f>
        <v>0.4</v>
      </c>
      <c r="S1376" s="18"/>
    </row>
    <row r="1377" spans="2:18" ht="15.75" customHeight="1" x14ac:dyDescent="0.2">
      <c r="B1377" s="145"/>
      <c r="C1377" s="39" t="s">
        <v>87</v>
      </c>
      <c r="D1377" s="71">
        <f>VLOOKUP($B1346,[1]Complaints!$A$4:$AJ$39,28,)</f>
        <v>0</v>
      </c>
      <c r="E1377" s="72">
        <f>VLOOKUP($B1346,[2]Complaints!$A$4:$AJ$39,28,)</f>
        <v>0</v>
      </c>
      <c r="F1377" s="72">
        <f>VLOOKUP($B1346,[3]Complaints!$A$4:$AJ$39,28,)</f>
        <v>0</v>
      </c>
      <c r="G1377" s="72">
        <f>VLOOKUP($B1346,[4]Complaints!$A$4:$AJ$39,28,)</f>
        <v>0</v>
      </c>
      <c r="H1377" s="72">
        <f>VLOOKUP($B1346,[5]Complaints!$A$4:$AJ$39,28,)</f>
        <v>0</v>
      </c>
      <c r="I1377" s="72">
        <f>VLOOKUP($B1346,[6]Complaints!$A$4:$AJ$39,28,)</f>
        <v>0</v>
      </c>
      <c r="J1377" s="72">
        <f>VLOOKUP($B1346,[7]Complaints!$A$4:$AJ$39,28,)</f>
        <v>0</v>
      </c>
      <c r="K1377" s="72">
        <f>VLOOKUP($B1346,[8]Complaints!$A$4:$AJ$39,28,)</f>
        <v>0</v>
      </c>
      <c r="L1377" s="72">
        <f>VLOOKUP($B1346,[9]Complaints!$A$4:$AJ$39,28,)</f>
        <v>0</v>
      </c>
      <c r="M1377" s="72">
        <f>VLOOKUP($B1346,[10]Complaints!$A$4:$AJ$39,28,)</f>
        <v>1</v>
      </c>
      <c r="N1377" s="72">
        <f>VLOOKUP($B1346,[11]Complaints!$A$4:$AJ$39,28,)</f>
        <v>0</v>
      </c>
      <c r="O1377" s="73">
        <f>VLOOKUP($B1346,[12]Complaints!$A$4:$AJ$39,28,)</f>
        <v>0</v>
      </c>
      <c r="P1377" s="69">
        <f t="shared" si="359"/>
        <v>1</v>
      </c>
      <c r="Q1377" s="70">
        <f>IF(P1377=0,"",P1377/$P1354)</f>
        <v>0.2</v>
      </c>
      <c r="R1377" s="18"/>
    </row>
    <row r="1378" spans="2:18" ht="15.75" customHeight="1" x14ac:dyDescent="0.2">
      <c r="B1378" s="145"/>
      <c r="C1378" s="38" t="s">
        <v>111</v>
      </c>
      <c r="D1378" s="66">
        <f>VLOOKUP($B1346,[1]Complaints!$A$4:$AJ$39,29,)</f>
        <v>0</v>
      </c>
      <c r="E1378" s="67">
        <f>VLOOKUP($B1346,[2]Complaints!$A$4:$AJ$39,29,)</f>
        <v>0</v>
      </c>
      <c r="F1378" s="67">
        <f>VLOOKUP($B1346,[3]Complaints!$A$4:$AJ$39,29,)</f>
        <v>0</v>
      </c>
      <c r="G1378" s="67">
        <f>VLOOKUP($B1346,[4]Complaints!$A$4:$AJ$39,29,)</f>
        <v>0</v>
      </c>
      <c r="H1378" s="67">
        <f>VLOOKUP($B1346,[5]Complaints!$A$4:$AJ$39,29,)</f>
        <v>0</v>
      </c>
      <c r="I1378" s="67">
        <f>VLOOKUP($B1346,[6]Complaints!$A$4:$AJ$39,29,)</f>
        <v>0</v>
      </c>
      <c r="J1378" s="67">
        <f>VLOOKUP($B1346,[7]Complaints!$A$4:$AJ$39,29,)</f>
        <v>0</v>
      </c>
      <c r="K1378" s="67">
        <f>VLOOKUP($B1346,[8]Complaints!$A$4:$AJ$39,29,)</f>
        <v>0</v>
      </c>
      <c r="L1378" s="67">
        <f>VLOOKUP($B1346,[9]Complaints!$A$4:$AJ$39,29,)</f>
        <v>0</v>
      </c>
      <c r="M1378" s="67">
        <f>VLOOKUP($B1346,[10]Complaints!$A$4:$AJ$39,29,)</f>
        <v>0</v>
      </c>
      <c r="N1378" s="67">
        <f>VLOOKUP($B1346,[11]Complaints!$A$4:$AJ$39,29,)</f>
        <v>0</v>
      </c>
      <c r="O1378" s="68">
        <f>VLOOKUP($B1346,[12]Complaints!$A$4:$AJ$39,29,)</f>
        <v>0</v>
      </c>
      <c r="P1378" s="69">
        <f t="shared" si="359"/>
        <v>0</v>
      </c>
      <c r="Q1378" s="70" t="str">
        <f>IF(P1378=0,"",P1378/$P1354)</f>
        <v/>
      </c>
      <c r="R1378" s="18"/>
    </row>
    <row r="1379" spans="2:18" ht="15.75" customHeight="1" x14ac:dyDescent="0.2">
      <c r="B1379" s="145"/>
      <c r="C1379" s="38" t="s">
        <v>112</v>
      </c>
      <c r="D1379" s="66">
        <f>VLOOKUP($B1346,[1]Complaints!$A$4:$AJ$39,30,)</f>
        <v>0</v>
      </c>
      <c r="E1379" s="67">
        <f>VLOOKUP($B1346,[2]Complaints!$A$4:$AJ$39,30,)</f>
        <v>0</v>
      </c>
      <c r="F1379" s="67">
        <f>VLOOKUP($B1346,[3]Complaints!$A$4:$AJ$39,30,)</f>
        <v>0</v>
      </c>
      <c r="G1379" s="67">
        <f>VLOOKUP($B1346,[4]Complaints!$A$4:$AJ$39,30,)</f>
        <v>0</v>
      </c>
      <c r="H1379" s="67">
        <f>VLOOKUP($B1346,[5]Complaints!$A$4:$AJ$39,30,)</f>
        <v>0</v>
      </c>
      <c r="I1379" s="67">
        <f>VLOOKUP($B1346,[6]Complaints!$A$4:$AJ$39,30,)</f>
        <v>0</v>
      </c>
      <c r="J1379" s="67">
        <f>VLOOKUP($B1346,[7]Complaints!$A$4:$AJ$39,30,)</f>
        <v>0</v>
      </c>
      <c r="K1379" s="67">
        <f>VLOOKUP($B1346,[8]Complaints!$A$4:$AJ$39,30,)</f>
        <v>0</v>
      </c>
      <c r="L1379" s="67">
        <f>VLOOKUP($B1346,[9]Complaints!$A$4:$AJ$39,30,)</f>
        <v>0</v>
      </c>
      <c r="M1379" s="67">
        <f>VLOOKUP($B1346,[10]Complaints!$A$4:$AJ$39,30,)</f>
        <v>0</v>
      </c>
      <c r="N1379" s="67">
        <f>VLOOKUP($B1346,[11]Complaints!$A$4:$AJ$39,30,)</f>
        <v>0</v>
      </c>
      <c r="O1379" s="68">
        <f>VLOOKUP($B1346,[12]Complaints!$A$4:$AJ$39,30,)</f>
        <v>0</v>
      </c>
      <c r="P1379" s="69">
        <f t="shared" si="359"/>
        <v>0</v>
      </c>
      <c r="Q1379" s="70" t="str">
        <f>IF(P1379=0,"",P1379/$P1354)</f>
        <v/>
      </c>
      <c r="R1379" s="18"/>
    </row>
    <row r="1380" spans="2:18" ht="15.75" customHeight="1" x14ac:dyDescent="0.2">
      <c r="B1380" s="146"/>
      <c r="C1380" s="40" t="s">
        <v>119</v>
      </c>
      <c r="D1380" s="74">
        <f>VLOOKUP($B1346,[1]Complaints!$A$4:$AJ$39,31,)</f>
        <v>0</v>
      </c>
      <c r="E1380" s="75">
        <f>VLOOKUP($B1346,[2]Complaints!$A$4:$AJ$39,31,)</f>
        <v>0</v>
      </c>
      <c r="F1380" s="75">
        <f>VLOOKUP($B1346,[3]Complaints!$A$4:$AJ$39,31,)</f>
        <v>0</v>
      </c>
      <c r="G1380" s="75">
        <f>VLOOKUP($B1346,[4]Complaints!$A$4:$AJ$39,31,)</f>
        <v>0</v>
      </c>
      <c r="H1380" s="75">
        <f>VLOOKUP($B1346,[5]Complaints!$A$4:$AJ$39,31,)</f>
        <v>0</v>
      </c>
      <c r="I1380" s="75">
        <f>VLOOKUP($B1346,[6]Complaints!$A$4:$AJ$39,31,)</f>
        <v>0</v>
      </c>
      <c r="J1380" s="75">
        <f>VLOOKUP($B1346,[7]Complaints!$A$4:$AJ$39,31,)</f>
        <v>0</v>
      </c>
      <c r="K1380" s="75">
        <f>VLOOKUP($B1346,[8]Complaints!$A$4:$AJ$39,31,)</f>
        <v>0</v>
      </c>
      <c r="L1380" s="75">
        <f>VLOOKUP($B1346,[9]Complaints!$A$4:$AJ$39,31,)</f>
        <v>0</v>
      </c>
      <c r="M1380" s="75">
        <f>VLOOKUP($B1346,[10]Complaints!$A$4:$AJ$39,31,)</f>
        <v>0</v>
      </c>
      <c r="N1380" s="75">
        <f>VLOOKUP($B1346,[11]Complaints!$A$4:$AJ$39,31,)</f>
        <v>0</v>
      </c>
      <c r="O1380" s="76">
        <f>VLOOKUP($B1346,[12]Complaints!$A$4:$AJ$39,31,)</f>
        <v>0</v>
      </c>
      <c r="P1380" s="77">
        <f t="shared" si="359"/>
        <v>0</v>
      </c>
      <c r="Q1380" s="50" t="str">
        <f>IF(P1380=0,"",P1380/$P1354)</f>
        <v/>
      </c>
      <c r="R1380" s="18"/>
    </row>
    <row r="1381" spans="2:18" ht="15.75" customHeight="1" x14ac:dyDescent="0.2">
      <c r="B1381" s="146"/>
      <c r="C1381" s="38" t="s">
        <v>113</v>
      </c>
      <c r="D1381" s="66">
        <f>VLOOKUP($B1346,[1]Complaints!$A$4:$AJ$39,32,)</f>
        <v>0</v>
      </c>
      <c r="E1381" s="67">
        <f>VLOOKUP($B1346,[2]Complaints!$A$4:$AJ$39,32,)</f>
        <v>0</v>
      </c>
      <c r="F1381" s="67">
        <f>VLOOKUP($B1346,[3]Complaints!$A$4:$AJ$39,32,)</f>
        <v>0</v>
      </c>
      <c r="G1381" s="67">
        <f>VLOOKUP($B1346,[4]Complaints!$A$4:$AJ$39,32,)</f>
        <v>0</v>
      </c>
      <c r="H1381" s="67">
        <f>VLOOKUP($B1346,[5]Complaints!$A$4:$AJ$39,32,)</f>
        <v>0</v>
      </c>
      <c r="I1381" s="67">
        <f>VLOOKUP($B1346,[6]Complaints!$A$4:$AJ$39,32,)</f>
        <v>0</v>
      </c>
      <c r="J1381" s="67">
        <f>VLOOKUP($B1346,[7]Complaints!$A$4:$AJ$39,32,)</f>
        <v>0</v>
      </c>
      <c r="K1381" s="67">
        <f>VLOOKUP($B1346,[8]Complaints!$A$4:$AJ$39,32,)</f>
        <v>0</v>
      </c>
      <c r="L1381" s="67">
        <f>VLOOKUP($B1346,[9]Complaints!$A$4:$AJ$39,32,)</f>
        <v>0</v>
      </c>
      <c r="M1381" s="67">
        <f>VLOOKUP($B1346,[10]Complaints!$A$4:$AJ$39,32,)</f>
        <v>0</v>
      </c>
      <c r="N1381" s="67">
        <f>VLOOKUP($B1346,[11]Complaints!$A$4:$AJ$39,32,)</f>
        <v>0</v>
      </c>
      <c r="O1381" s="68">
        <f>VLOOKUP($B1346,[12]Complaints!$A$4:$AJ$39,32,)</f>
        <v>0</v>
      </c>
      <c r="P1381" s="69">
        <f t="shared" si="359"/>
        <v>0</v>
      </c>
      <c r="Q1381" s="70" t="str">
        <f>IF(P1381=0,"",P1381/$P1354)</f>
        <v/>
      </c>
      <c r="R1381" s="18"/>
    </row>
    <row r="1382" spans="2:18" ht="15.75" customHeight="1" x14ac:dyDescent="0.2">
      <c r="B1382" s="146"/>
      <c r="C1382" s="38" t="s">
        <v>114</v>
      </c>
      <c r="D1382" s="66">
        <f>VLOOKUP($B1346,[1]Complaints!$A$4:$AJ$39,33,)</f>
        <v>0</v>
      </c>
      <c r="E1382" s="67">
        <f>VLOOKUP($B1346,[2]Complaints!$A$4:$AJ$39,33,)</f>
        <v>0</v>
      </c>
      <c r="F1382" s="67">
        <f>VLOOKUP($B1346,[3]Complaints!$A$4:$AJ$39,33,)</f>
        <v>0</v>
      </c>
      <c r="G1382" s="67">
        <f>VLOOKUP($B1346,[4]Complaints!$A$4:$AJ$39,33,)</f>
        <v>0</v>
      </c>
      <c r="H1382" s="67">
        <f>VLOOKUP($B1346,[5]Complaints!$A$4:$AJ$39,33,)</f>
        <v>0</v>
      </c>
      <c r="I1382" s="67">
        <f>VLOOKUP($B1346,[6]Complaints!$A$4:$AJ$39,33,)</f>
        <v>0</v>
      </c>
      <c r="J1382" s="67">
        <f>VLOOKUP($B1346,[7]Complaints!$A$4:$AJ$39,33,)</f>
        <v>0</v>
      </c>
      <c r="K1382" s="67">
        <f>VLOOKUP($B1346,[8]Complaints!$A$4:$AJ$39,33,)</f>
        <v>0</v>
      </c>
      <c r="L1382" s="67">
        <f>VLOOKUP($B1346,[9]Complaints!$A$4:$AJ$39,33,)</f>
        <v>0</v>
      </c>
      <c r="M1382" s="67">
        <f>VLOOKUP($B1346,[10]Complaints!$A$4:$AJ$39,33,)</f>
        <v>0</v>
      </c>
      <c r="N1382" s="67">
        <f>VLOOKUP($B1346,[11]Complaints!$A$4:$AJ$39,33,)</f>
        <v>0</v>
      </c>
      <c r="O1382" s="68">
        <f>VLOOKUP($B1346,[12]Complaints!$A$4:$AJ$39,33,)</f>
        <v>0</v>
      </c>
      <c r="P1382" s="69">
        <f t="shared" si="359"/>
        <v>0</v>
      </c>
      <c r="Q1382" s="70" t="str">
        <f>IF(P1382=0,"",P1382/$P1354)</f>
        <v/>
      </c>
      <c r="R1382" s="18"/>
    </row>
    <row r="1383" spans="2:18" ht="15.75" customHeight="1" x14ac:dyDescent="0.2">
      <c r="B1383" s="146"/>
      <c r="C1383" s="38" t="s">
        <v>115</v>
      </c>
      <c r="D1383" s="66">
        <f>VLOOKUP($B1346,[1]Complaints!$A$4:$AJ$39,34,)</f>
        <v>0</v>
      </c>
      <c r="E1383" s="67">
        <f>VLOOKUP($B1346,[2]Complaints!$A$4:$AJ$39,34,)</f>
        <v>0</v>
      </c>
      <c r="F1383" s="67">
        <f>VLOOKUP($B1346,[3]Complaints!$A$4:$AJ$39,34,)</f>
        <v>0</v>
      </c>
      <c r="G1383" s="67">
        <f>VLOOKUP($B1346,[4]Complaints!$A$4:$AJ$39,34,)</f>
        <v>0</v>
      </c>
      <c r="H1383" s="67">
        <f>VLOOKUP($B1346,[5]Complaints!$A$4:$AJ$39,34,)</f>
        <v>0</v>
      </c>
      <c r="I1383" s="67">
        <f>VLOOKUP($B1346,[6]Complaints!$A$4:$AJ$39,34,)</f>
        <v>0</v>
      </c>
      <c r="J1383" s="67">
        <f>VLOOKUP($B1346,[7]Complaints!$A$4:$AJ$39,34,)</f>
        <v>0</v>
      </c>
      <c r="K1383" s="67">
        <f>VLOOKUP($B1346,[8]Complaints!$A$4:$AJ$39,34,)</f>
        <v>0</v>
      </c>
      <c r="L1383" s="67">
        <f>VLOOKUP($B1346,[9]Complaints!$A$4:$AJ$39,34,)</f>
        <v>0</v>
      </c>
      <c r="M1383" s="67">
        <f>VLOOKUP($B1346,[10]Complaints!$A$4:$AJ$39,34,)</f>
        <v>0</v>
      </c>
      <c r="N1383" s="67">
        <f>VLOOKUP($B1346,[11]Complaints!$A$4:$AJ$39,34,)</f>
        <v>0</v>
      </c>
      <c r="O1383" s="68">
        <f>VLOOKUP($B1346,[12]Complaints!$A$4:$AJ$39,34,)</f>
        <v>0</v>
      </c>
      <c r="P1383" s="69">
        <f t="shared" si="359"/>
        <v>0</v>
      </c>
      <c r="Q1383" s="70" t="str">
        <f>IF(P1383=0,"",P1383/$P1354)</f>
        <v/>
      </c>
      <c r="R1383" s="18"/>
    </row>
    <row r="1384" spans="2:18" ht="15.75" customHeight="1" x14ac:dyDescent="0.2">
      <c r="B1384" s="146"/>
      <c r="C1384" s="38" t="s">
        <v>116</v>
      </c>
      <c r="D1384" s="66">
        <f>VLOOKUP($B1346,[1]Complaints!$A$4:$AJ$39,35,)</f>
        <v>0</v>
      </c>
      <c r="E1384" s="67">
        <f>VLOOKUP($B1346,[2]Complaints!$A$4:$AJ$39,35,)</f>
        <v>0</v>
      </c>
      <c r="F1384" s="67">
        <f>VLOOKUP($B1346,[3]Complaints!$A$4:$AJ$39,35,)</f>
        <v>0</v>
      </c>
      <c r="G1384" s="67">
        <f>VLOOKUP($B1346,[4]Complaints!$A$4:$AJ$39,35,)</f>
        <v>0</v>
      </c>
      <c r="H1384" s="67">
        <f>VLOOKUP($B1346,[5]Complaints!$A$4:$AJ$39,35,)</f>
        <v>0</v>
      </c>
      <c r="I1384" s="67">
        <f>VLOOKUP($B1346,[6]Complaints!$A$4:$AJ$39,35,)</f>
        <v>0</v>
      </c>
      <c r="J1384" s="67">
        <f>VLOOKUP($B1346,[7]Complaints!$A$4:$AJ$39,35,)</f>
        <v>0</v>
      </c>
      <c r="K1384" s="67">
        <f>VLOOKUP($B1346,[8]Complaints!$A$4:$AJ$39,35,)</f>
        <v>0</v>
      </c>
      <c r="L1384" s="67">
        <f>VLOOKUP($B1346,[9]Complaints!$A$4:$AJ$39,35,)</f>
        <v>0</v>
      </c>
      <c r="M1384" s="67">
        <f>VLOOKUP($B1346,[10]Complaints!$A$4:$AJ$39,35,)</f>
        <v>0</v>
      </c>
      <c r="N1384" s="67">
        <f>VLOOKUP($B1346,[11]Complaints!$A$4:$AJ$39,35,)</f>
        <v>0</v>
      </c>
      <c r="O1384" s="68">
        <f>VLOOKUP($B1346,[12]Complaints!$A$4:$AJ$39,35,)</f>
        <v>0</v>
      </c>
      <c r="P1384" s="69">
        <f t="shared" si="359"/>
        <v>0</v>
      </c>
      <c r="Q1384" s="70" t="str">
        <f>IF(P1384=0,"",P1384/$P1354)</f>
        <v/>
      </c>
      <c r="R1384" s="18"/>
    </row>
    <row r="1385" spans="2:18" ht="15.75" customHeight="1" thickBot="1" x14ac:dyDescent="0.25">
      <c r="B1385" s="147"/>
      <c r="C1385" s="41" t="s">
        <v>117</v>
      </c>
      <c r="D1385" s="78">
        <f>VLOOKUP($B1346,[1]Complaints!$A$4:$AJ$39,36,)</f>
        <v>0</v>
      </c>
      <c r="E1385" s="79">
        <f>VLOOKUP($B1346,[2]Complaints!$A$4:$AJ$39,36,)</f>
        <v>0</v>
      </c>
      <c r="F1385" s="79">
        <f>VLOOKUP($B1346,[3]Complaints!$A$4:$AJ$39,36,)</f>
        <v>0</v>
      </c>
      <c r="G1385" s="79">
        <f>VLOOKUP($B1346,[4]Complaints!$A$4:$AJ$39,36,)</f>
        <v>0</v>
      </c>
      <c r="H1385" s="79">
        <f>VLOOKUP($B1346,[5]Complaints!$A$4:$AJ$39,36,)</f>
        <v>0</v>
      </c>
      <c r="I1385" s="79">
        <f>VLOOKUP($B1346,[6]Complaints!$A$4:$AJ$39,36,)</f>
        <v>0</v>
      </c>
      <c r="J1385" s="79">
        <f>VLOOKUP($B1346,[7]Complaints!$A$4:$AJ$39,36,)</f>
        <v>0</v>
      </c>
      <c r="K1385" s="79">
        <f>VLOOKUP($B1346,[8]Complaints!$A$4:$AJ$39,36,)</f>
        <v>0</v>
      </c>
      <c r="L1385" s="79">
        <f>VLOOKUP($B1346,[9]Complaints!$A$4:$AJ$39,36,)</f>
        <v>0</v>
      </c>
      <c r="M1385" s="79">
        <f>VLOOKUP($B1346,[10]Complaints!$A$4:$AJ$39,36,)</f>
        <v>0</v>
      </c>
      <c r="N1385" s="79">
        <f>VLOOKUP($B1346,[11]Complaints!$A$4:$AJ$39,36,)</f>
        <v>0</v>
      </c>
      <c r="O1385" s="80">
        <f>VLOOKUP($B1346,[12]Complaints!$A$4:$AJ$39,36,)</f>
        <v>0</v>
      </c>
      <c r="P1385" s="81">
        <f t="shared" si="359"/>
        <v>0</v>
      </c>
      <c r="Q1385" s="82" t="str">
        <f>IF(P1385=0,"",P1385/$P1354)</f>
        <v/>
      </c>
      <c r="R1385" s="18"/>
    </row>
    <row r="1386" spans="2:18" ht="15.75" customHeight="1" x14ac:dyDescent="0.2">
      <c r="B1386" s="85"/>
      <c r="C1386" s="86"/>
      <c r="D1386" s="87"/>
      <c r="E1386" s="87"/>
      <c r="F1386" s="87"/>
      <c r="G1386" s="87"/>
      <c r="H1386" s="87"/>
      <c r="I1386" s="87"/>
      <c r="J1386" s="87"/>
      <c r="K1386" s="87"/>
      <c r="L1386" s="87"/>
      <c r="M1386" s="87"/>
      <c r="N1386" s="87"/>
      <c r="O1386" s="87"/>
      <c r="P1386" s="88"/>
      <c r="Q1386" s="84"/>
      <c r="R1386" s="18"/>
    </row>
    <row r="1387" spans="2:18" ht="15.75" customHeight="1" x14ac:dyDescent="0.25">
      <c r="B1387" s="173" t="s">
        <v>121</v>
      </c>
      <c r="C1387" s="173"/>
      <c r="D1387" s="173"/>
      <c r="E1387" s="173"/>
      <c r="F1387" s="173"/>
      <c r="G1387" s="173"/>
      <c r="H1387" s="173"/>
      <c r="I1387" s="173"/>
      <c r="J1387" s="173"/>
      <c r="K1387" s="173"/>
      <c r="L1387" s="173"/>
      <c r="M1387" s="173"/>
      <c r="N1387" s="173"/>
      <c r="O1387" s="173"/>
      <c r="P1387" s="173"/>
      <c r="R1387" s="18"/>
    </row>
    <row r="1388" spans="2:18" ht="15.75" customHeight="1" thickBot="1" x14ac:dyDescent="0.25">
      <c r="C1388" s="24"/>
      <c r="O1388" s="23"/>
      <c r="P1388" s="22"/>
      <c r="R1388" s="18"/>
    </row>
    <row r="1389" spans="2:18" ht="15.75" customHeight="1" x14ac:dyDescent="0.25">
      <c r="B1389" s="171" t="s">
        <v>105</v>
      </c>
      <c r="C1389" s="172"/>
      <c r="D1389" s="90" t="s">
        <v>0</v>
      </c>
      <c r="E1389" s="91" t="s">
        <v>1</v>
      </c>
      <c r="F1389" s="91" t="s">
        <v>2</v>
      </c>
      <c r="G1389" s="91" t="s">
        <v>3</v>
      </c>
      <c r="H1389" s="91" t="s">
        <v>4</v>
      </c>
      <c r="I1389" s="91" t="s">
        <v>5</v>
      </c>
      <c r="J1389" s="91" t="s">
        <v>6</v>
      </c>
      <c r="K1389" s="91" t="s">
        <v>7</v>
      </c>
      <c r="L1389" s="91" t="s">
        <v>8</v>
      </c>
      <c r="M1389" s="91" t="s">
        <v>9</v>
      </c>
      <c r="N1389" s="91" t="s">
        <v>10</v>
      </c>
      <c r="O1389" s="92" t="s">
        <v>11</v>
      </c>
      <c r="P1389" s="93" t="s">
        <v>12</v>
      </c>
      <c r="Q1389" s="174" t="s">
        <v>104</v>
      </c>
      <c r="R1389" s="18"/>
    </row>
    <row r="1390" spans="2:18" ht="15.75" customHeight="1" thickBot="1" x14ac:dyDescent="0.3">
      <c r="B1390" s="176" t="s">
        <v>106</v>
      </c>
      <c r="C1390" s="177"/>
      <c r="D1390" s="34">
        <v>2020</v>
      </c>
      <c r="E1390" s="34">
        <v>2020</v>
      </c>
      <c r="F1390" s="34">
        <v>2020</v>
      </c>
      <c r="G1390" s="34">
        <v>2020</v>
      </c>
      <c r="H1390" s="34">
        <v>2020</v>
      </c>
      <c r="I1390" s="34">
        <v>2020</v>
      </c>
      <c r="J1390" s="34">
        <v>2020</v>
      </c>
      <c r="K1390" s="34">
        <v>2020</v>
      </c>
      <c r="L1390" s="34">
        <v>2020</v>
      </c>
      <c r="M1390" s="25">
        <v>2021</v>
      </c>
      <c r="N1390" s="25">
        <v>2021</v>
      </c>
      <c r="O1390" s="25">
        <v>2021</v>
      </c>
      <c r="P1390" s="36" t="s">
        <v>122</v>
      </c>
      <c r="Q1390" s="175"/>
      <c r="R1390" s="18"/>
    </row>
    <row r="1391" spans="2:18" ht="15.75" customHeight="1" thickBot="1" x14ac:dyDescent="0.3">
      <c r="B1391" s="181" t="s">
        <v>38</v>
      </c>
      <c r="C1391" s="182"/>
      <c r="D1391" s="94">
        <f t="shared" ref="D1391:O1391" si="360">D1347+D1305+D1263+D1221+D1179+D1137+D1095+D1053+D1011+D969+D927+D885+D843+D801+D759+D717+D675+D633+D591+D549+D507+D465+D423+D381+D339+D297+D255+D213+D171+D129+D87+D45+D3</f>
        <v>10870</v>
      </c>
      <c r="E1391" s="94">
        <f t="shared" si="360"/>
        <v>14625</v>
      </c>
      <c r="F1391" s="94">
        <f t="shared" si="360"/>
        <v>22689</v>
      </c>
      <c r="G1391" s="94">
        <f t="shared" si="360"/>
        <v>36090</v>
      </c>
      <c r="H1391" s="94">
        <f t="shared" si="360"/>
        <v>42955</v>
      </c>
      <c r="I1391" s="94">
        <f t="shared" si="360"/>
        <v>48410</v>
      </c>
      <c r="J1391" s="94">
        <f t="shared" si="360"/>
        <v>47897</v>
      </c>
      <c r="K1391" s="94">
        <f>K1347+K1305+K1263+K1221+K1179+K1137+K1095+K1053+K1011+K969+K927+K885+K843+K801+K759+K717+K675+K633+K591+K549+K507+K465+K423+K381+K339+K297+K255+K213+K171+K129+K87+K45+K3</f>
        <v>47897</v>
      </c>
      <c r="L1391" s="94">
        <f t="shared" si="360"/>
        <v>43868</v>
      </c>
      <c r="M1391" s="94">
        <f t="shared" si="360"/>
        <v>31744</v>
      </c>
      <c r="N1391" s="94">
        <f t="shared" si="360"/>
        <v>0</v>
      </c>
      <c r="O1391" s="94">
        <f t="shared" si="360"/>
        <v>0</v>
      </c>
      <c r="P1391" s="95">
        <f>SUM(D1391:O1391)</f>
        <v>347045</v>
      </c>
      <c r="Q1391" s="96"/>
      <c r="R1391" s="18"/>
    </row>
    <row r="1392" spans="2:18" ht="15.75" customHeight="1" x14ac:dyDescent="0.25">
      <c r="B1392" s="183" t="s">
        <v>94</v>
      </c>
      <c r="C1392" s="184"/>
      <c r="D1392" s="94">
        <f t="shared" ref="D1392:O1392" si="361">D1348+D1306+D1264+D1222+D1180+D1138+D1096+D1054+D1012+D970+D928+D886+D844+D802+D760+D718+D676+D634+D592+D550+D508+D466+D424+D382+D340+D298+D256+D214+D172+D130+D88+D46+D4</f>
        <v>4</v>
      </c>
      <c r="E1392" s="94">
        <f t="shared" si="361"/>
        <v>17</v>
      </c>
      <c r="F1392" s="94">
        <f t="shared" si="361"/>
        <v>24</v>
      </c>
      <c r="G1392" s="94">
        <f t="shared" si="361"/>
        <v>31</v>
      </c>
      <c r="H1392" s="94">
        <f t="shared" si="361"/>
        <v>36</v>
      </c>
      <c r="I1392" s="94">
        <f t="shared" si="361"/>
        <v>43</v>
      </c>
      <c r="J1392" s="94">
        <f t="shared" si="361"/>
        <v>46</v>
      </c>
      <c r="K1392" s="94">
        <f t="shared" si="361"/>
        <v>46</v>
      </c>
      <c r="L1392" s="94">
        <f t="shared" si="361"/>
        <v>31</v>
      </c>
      <c r="M1392" s="94">
        <f t="shared" si="361"/>
        <v>24</v>
      </c>
      <c r="N1392" s="94">
        <f t="shared" si="361"/>
        <v>0</v>
      </c>
      <c r="O1392" s="94">
        <f t="shared" si="361"/>
        <v>0</v>
      </c>
      <c r="P1392" s="95">
        <f>SUM(D1392:O1392)</f>
        <v>302</v>
      </c>
      <c r="Q1392" s="97"/>
      <c r="R1392" s="18"/>
    </row>
    <row r="1393" spans="2:18" ht="15.75" customHeight="1" x14ac:dyDescent="0.25">
      <c r="B1393" s="98"/>
      <c r="C1393" s="99" t="s">
        <v>102</v>
      </c>
      <c r="D1393" s="100">
        <f>IF(D1392=0,"",D1392/D1391)</f>
        <v>3.6798528058877642E-4</v>
      </c>
      <c r="E1393" s="100">
        <f t="shared" ref="E1393:O1393" si="362">IF(E1392=0,"",E1392/E1391)</f>
        <v>1.1623931623931623E-3</v>
      </c>
      <c r="F1393" s="100">
        <f t="shared" si="362"/>
        <v>1.0577813037154569E-3</v>
      </c>
      <c r="G1393" s="100">
        <f t="shared" si="362"/>
        <v>8.5896370185646988E-4</v>
      </c>
      <c r="H1393" s="100">
        <f>IF(H1392=0,"",H1392/H1391)</f>
        <v>8.3808636945640789E-4</v>
      </c>
      <c r="I1393" s="100">
        <f t="shared" si="362"/>
        <v>8.8824623011774428E-4</v>
      </c>
      <c r="J1393" s="100">
        <f t="shared" si="362"/>
        <v>9.6039417917614879E-4</v>
      </c>
      <c r="K1393" s="100">
        <f t="shared" si="362"/>
        <v>9.6039417917614879E-4</v>
      </c>
      <c r="L1393" s="100">
        <f t="shared" si="362"/>
        <v>7.0666545089814899E-4</v>
      </c>
      <c r="M1393" s="100">
        <f t="shared" si="362"/>
        <v>7.5604838709677417E-4</v>
      </c>
      <c r="N1393" s="100" t="str">
        <f t="shared" si="362"/>
        <v/>
      </c>
      <c r="O1393" s="100" t="str">
        <f t="shared" si="362"/>
        <v/>
      </c>
      <c r="P1393" s="101">
        <f>IF(P1392="","",P1392/P1391)</f>
        <v>8.7020415219928255E-4</v>
      </c>
      <c r="Q1393" s="97"/>
      <c r="R1393" s="18"/>
    </row>
    <row r="1394" spans="2:18" ht="15.75" customHeight="1" x14ac:dyDescent="0.25">
      <c r="B1394" s="178" t="s">
        <v>95</v>
      </c>
      <c r="C1394" s="179"/>
      <c r="D1394" s="102">
        <f t="shared" ref="D1394:O1394" si="363">D1350+D1308+D1266+D1224+D1182+D1140+D1098+D1056+D1014+D972+D930+D888+D846+D804+D762+D720+D678+D636+D594+D552+D510+D468+D426+D384+D342+D300+D258+D216+D174+D132+D90+D48+D6</f>
        <v>2</v>
      </c>
      <c r="E1394" s="102">
        <f t="shared" si="363"/>
        <v>6</v>
      </c>
      <c r="F1394" s="102">
        <f t="shared" si="363"/>
        <v>7</v>
      </c>
      <c r="G1394" s="102">
        <f t="shared" si="363"/>
        <v>5</v>
      </c>
      <c r="H1394" s="102">
        <f t="shared" si="363"/>
        <v>8</v>
      </c>
      <c r="I1394" s="102">
        <f t="shared" si="363"/>
        <v>15</v>
      </c>
      <c r="J1394" s="102">
        <f t="shared" si="363"/>
        <v>13</v>
      </c>
      <c r="K1394" s="102">
        <f t="shared" si="363"/>
        <v>13</v>
      </c>
      <c r="L1394" s="102">
        <f t="shared" si="363"/>
        <v>10</v>
      </c>
      <c r="M1394" s="102">
        <f t="shared" si="363"/>
        <v>11</v>
      </c>
      <c r="N1394" s="102">
        <f t="shared" si="363"/>
        <v>0</v>
      </c>
      <c r="O1394" s="102">
        <f t="shared" si="363"/>
        <v>0</v>
      </c>
      <c r="P1394" s="103">
        <f>SUM(D1394:O1394)</f>
        <v>90</v>
      </c>
      <c r="Q1394" s="97"/>
      <c r="R1394" s="18"/>
    </row>
    <row r="1395" spans="2:18" ht="15.75" customHeight="1" x14ac:dyDescent="0.25">
      <c r="B1395" s="98"/>
      <c r="C1395" s="99" t="s">
        <v>98</v>
      </c>
      <c r="D1395" s="100">
        <f>IF(D1394=0,"",D1394/D1391)</f>
        <v>1.8399264029438821E-4</v>
      </c>
      <c r="E1395" s="100">
        <f t="shared" ref="E1395:O1395" si="364">IF(E1394=0,"",E1394/E1391)</f>
        <v>4.1025641025641023E-4</v>
      </c>
      <c r="F1395" s="100">
        <f t="shared" si="364"/>
        <v>3.0851954691700826E-4</v>
      </c>
      <c r="G1395" s="100">
        <f t="shared" si="364"/>
        <v>1.3854253255749516E-4</v>
      </c>
      <c r="H1395" s="100">
        <f t="shared" si="364"/>
        <v>1.8624141543475731E-4</v>
      </c>
      <c r="I1395" s="100">
        <f t="shared" si="364"/>
        <v>3.0985333608758519E-4</v>
      </c>
      <c r="J1395" s="100">
        <f t="shared" si="364"/>
        <v>2.7141574628891164E-4</v>
      </c>
      <c r="K1395" s="100">
        <f t="shared" si="364"/>
        <v>2.7141574628891164E-4</v>
      </c>
      <c r="L1395" s="100">
        <f t="shared" si="364"/>
        <v>2.2795659706391903E-4</v>
      </c>
      <c r="M1395" s="100">
        <f t="shared" si="364"/>
        <v>3.4652217741935486E-4</v>
      </c>
      <c r="N1395" s="100" t="str">
        <f t="shared" si="364"/>
        <v/>
      </c>
      <c r="O1395" s="100" t="str">
        <f t="shared" si="364"/>
        <v/>
      </c>
      <c r="P1395" s="101">
        <f>IF(P1394="","",P1394/P1391)</f>
        <v>2.5933236323819677E-4</v>
      </c>
      <c r="Q1395" s="97"/>
      <c r="R1395" s="18"/>
    </row>
    <row r="1396" spans="2:18" ht="15.75" customHeight="1" x14ac:dyDescent="0.25">
      <c r="B1396" s="178" t="s">
        <v>96</v>
      </c>
      <c r="C1396" s="179"/>
      <c r="D1396" s="102">
        <f t="shared" ref="D1396:O1396" si="365">D1352+D1310+D1268+D1226+D1184+D1142+D1100+D1058+D1016+D974+D932+D890+D848+D806+D764+D722+D680+D638+D596+D554+D512+D470+D428+D386+D344+D302+D260+D218+D176+D134+D92+D50+D8</f>
        <v>2</v>
      </c>
      <c r="E1396" s="102">
        <f t="shared" si="365"/>
        <v>11</v>
      </c>
      <c r="F1396" s="102">
        <f t="shared" si="365"/>
        <v>17</v>
      </c>
      <c r="G1396" s="102">
        <f t="shared" si="365"/>
        <v>26</v>
      </c>
      <c r="H1396" s="102">
        <f t="shared" si="365"/>
        <v>28</v>
      </c>
      <c r="I1396" s="102">
        <f t="shared" si="365"/>
        <v>28</v>
      </c>
      <c r="J1396" s="102">
        <f t="shared" si="365"/>
        <v>33</v>
      </c>
      <c r="K1396" s="102">
        <f t="shared" si="365"/>
        <v>33</v>
      </c>
      <c r="L1396" s="102">
        <f t="shared" si="365"/>
        <v>21</v>
      </c>
      <c r="M1396" s="102">
        <f>M1352+M1310+M1268+M1226+M1184+M1142+M1100+M1058+M1016+M974+M932+M890+M848+M806+M764+M722+M680+M638+M596+M554+M512+M470+M428+M386+M344+M302+M260+M218+M176+M134+M92+M50+M8</f>
        <v>13</v>
      </c>
      <c r="N1396" s="102">
        <f t="shared" si="365"/>
        <v>0</v>
      </c>
      <c r="O1396" s="102">
        <f t="shared" si="365"/>
        <v>0</v>
      </c>
      <c r="P1396" s="103">
        <f t="shared" ref="P1396" si="366">SUM(D1396:O1396)</f>
        <v>212</v>
      </c>
      <c r="Q1396" s="97"/>
      <c r="R1396" s="18"/>
    </row>
    <row r="1397" spans="2:18" ht="15.75" customHeight="1" x14ac:dyDescent="0.25">
      <c r="B1397" s="98"/>
      <c r="C1397" s="99" t="s">
        <v>99</v>
      </c>
      <c r="D1397" s="100">
        <f>IF(D1396=0,"",D1396/D1391)</f>
        <v>1.8399264029438821E-4</v>
      </c>
      <c r="E1397" s="100">
        <f t="shared" ref="E1397:O1397" si="367">IF(E1396=0,"",E1396/E1391)</f>
        <v>7.5213675213675211E-4</v>
      </c>
      <c r="F1397" s="100">
        <f t="shared" si="367"/>
        <v>7.4926175679844854E-4</v>
      </c>
      <c r="G1397" s="100">
        <f t="shared" si="367"/>
        <v>7.2042116929897475E-4</v>
      </c>
      <c r="H1397" s="100">
        <f t="shared" si="367"/>
        <v>6.5184495402165058E-4</v>
      </c>
      <c r="I1397" s="100">
        <f t="shared" si="367"/>
        <v>5.783928940301591E-4</v>
      </c>
      <c r="J1397" s="100">
        <f t="shared" si="367"/>
        <v>6.8897843288723715E-4</v>
      </c>
      <c r="K1397" s="100">
        <f t="shared" si="367"/>
        <v>6.8897843288723715E-4</v>
      </c>
      <c r="L1397" s="100">
        <f t="shared" si="367"/>
        <v>4.7870885383422999E-4</v>
      </c>
      <c r="M1397" s="100">
        <f t="shared" si="367"/>
        <v>4.0952620967741937E-4</v>
      </c>
      <c r="N1397" s="100" t="str">
        <f t="shared" si="367"/>
        <v/>
      </c>
      <c r="O1397" s="100" t="str">
        <f t="shared" si="367"/>
        <v/>
      </c>
      <c r="P1397" s="101">
        <f>IF(P1396="","",P1396/P1391)</f>
        <v>6.1087178896108573E-4</v>
      </c>
      <c r="Q1397" s="97"/>
      <c r="R1397" s="18"/>
    </row>
    <row r="1398" spans="2:18" ht="15.75" customHeight="1" x14ac:dyDescent="0.25">
      <c r="B1398" s="180" t="s">
        <v>97</v>
      </c>
      <c r="C1398" s="179"/>
      <c r="D1398" s="102">
        <f t="shared" ref="D1398:O1398" si="368">D1354+D1312+D1270+D1228+D1186+D1144+D1102+D1060+D1018+D976+D934+D892+D850+D808+D766+D724+D682+D640+D598+D556+D514+D472+D430+D388+D346+D304+D262+D220+D178+D136+D94+D52+D10</f>
        <v>2</v>
      </c>
      <c r="E1398" s="102">
        <f t="shared" si="368"/>
        <v>9</v>
      </c>
      <c r="F1398" s="102">
        <f>F1354+F1312+F1270+F1228+F1186+F1144+F1102+F1060+F1018+F976+F934+F892+F850+F808+F766+F724+F682+F640+F598+F556+F514+F472+F430+F388+F346+F304+F262+F220+F178+F136+F94+F52+F10</f>
        <v>16</v>
      </c>
      <c r="G1398" s="102">
        <f>G1354+G1312+G1270+G1228+G1186+G1144+G1102+G1060+G1018+G976+G934+G892+G850+G808+G766+G724+G682+G640+G598+G556+G514+G472+G430+G388+G346+G304+G262+G220+G178+G136+G94+G52+G10</f>
        <v>17</v>
      </c>
      <c r="H1398" s="102">
        <f t="shared" si="368"/>
        <v>17</v>
      </c>
      <c r="I1398" s="102">
        <f t="shared" si="368"/>
        <v>19</v>
      </c>
      <c r="J1398" s="102">
        <f t="shared" si="368"/>
        <v>26</v>
      </c>
      <c r="K1398" s="102">
        <f t="shared" si="368"/>
        <v>26</v>
      </c>
      <c r="L1398" s="102">
        <f t="shared" si="368"/>
        <v>14</v>
      </c>
      <c r="M1398" s="102">
        <f>M1354+M1312+M1270+M1228+M1186+M1144+M1102+M1060+M1018+M976+M934+M892+M850+M808+M766+M724+M682+M640+M598+M556+M514+M472+M430+M388+M346+M304+M262+M220+M178+M136+M94+M52+M10</f>
        <v>9</v>
      </c>
      <c r="N1398" s="102">
        <f t="shared" si="368"/>
        <v>0</v>
      </c>
      <c r="O1398" s="102">
        <f t="shared" si="368"/>
        <v>0</v>
      </c>
      <c r="P1398" s="103">
        <f>SUM(D1398:O1398)</f>
        <v>155</v>
      </c>
      <c r="Q1398" s="97"/>
      <c r="R1398" s="18"/>
    </row>
    <row r="1399" spans="2:18" ht="15.75" customHeight="1" thickBot="1" x14ac:dyDescent="0.3">
      <c r="B1399" s="104"/>
      <c r="C1399" s="105" t="s">
        <v>100</v>
      </c>
      <c r="D1399" s="143">
        <f>IF(D1398=0,"",D1398/D1396)</f>
        <v>1</v>
      </c>
      <c r="E1399" s="143">
        <f t="shared" ref="E1399:N1399" si="369">IF(E1398=0,"",E1398/E1396)</f>
        <v>0.81818181818181823</v>
      </c>
      <c r="F1399" s="143">
        <f>IF(F1398=0,"",F1398/F1396)</f>
        <v>0.94117647058823528</v>
      </c>
      <c r="G1399" s="143">
        <f>IF(G1398=0,"",G1398/G1392)</f>
        <v>0.54838709677419351</v>
      </c>
      <c r="H1399" s="143">
        <f t="shared" si="369"/>
        <v>0.6071428571428571</v>
      </c>
      <c r="I1399" s="143">
        <f>IF(I1398=0,"",I1398/I1396)</f>
        <v>0.6785714285714286</v>
      </c>
      <c r="J1399" s="143">
        <f t="shared" si="369"/>
        <v>0.78787878787878785</v>
      </c>
      <c r="K1399" s="143">
        <f t="shared" si="369"/>
        <v>0.78787878787878785</v>
      </c>
      <c r="L1399" s="143">
        <f t="shared" si="369"/>
        <v>0.66666666666666663</v>
      </c>
      <c r="M1399" s="143">
        <f>IF(M1398=0,"",M1398/M1396)</f>
        <v>0.69230769230769229</v>
      </c>
      <c r="N1399" s="143" t="str">
        <f t="shared" si="369"/>
        <v/>
      </c>
      <c r="O1399" s="143" t="str">
        <f>IF(O1398=0,"",O1398/O1396)</f>
        <v/>
      </c>
      <c r="P1399" s="143">
        <f>IF(P1398=0,"",P1398/P1396)</f>
        <v>0.73113207547169812</v>
      </c>
      <c r="Q1399" s="106"/>
      <c r="R1399" s="18"/>
    </row>
    <row r="1400" spans="2:18" ht="15.75" customHeight="1" x14ac:dyDescent="0.25">
      <c r="B1400" s="148" t="s">
        <v>103</v>
      </c>
      <c r="C1400" s="107" t="s">
        <v>77</v>
      </c>
      <c r="D1400" s="108">
        <f t="shared" ref="D1400:O1400" si="370">D1356+D1314+D1272+D1230+D1188+D1146+D1104+D1062+D1020+D978+D936+D894+D852+D810+D768+D726+D684+D642+D600+D558+D516+D474+D432+D390+D348+D306+D264+D222+D180+D138+D96+D54+D12</f>
        <v>0</v>
      </c>
      <c r="E1400" s="109">
        <f t="shared" si="370"/>
        <v>1</v>
      </c>
      <c r="F1400" s="109">
        <f t="shared" si="370"/>
        <v>2</v>
      </c>
      <c r="G1400" s="109">
        <f t="shared" si="370"/>
        <v>2</v>
      </c>
      <c r="H1400" s="109">
        <f t="shared" si="370"/>
        <v>1</v>
      </c>
      <c r="I1400" s="109">
        <f t="shared" si="370"/>
        <v>3</v>
      </c>
      <c r="J1400" s="109">
        <f t="shared" si="370"/>
        <v>2</v>
      </c>
      <c r="K1400" s="109">
        <f t="shared" si="370"/>
        <v>0</v>
      </c>
      <c r="L1400" s="109">
        <f t="shared" si="370"/>
        <v>0</v>
      </c>
      <c r="M1400" s="109">
        <f t="shared" si="370"/>
        <v>1</v>
      </c>
      <c r="N1400" s="109">
        <f t="shared" si="370"/>
        <v>0</v>
      </c>
      <c r="O1400" s="110">
        <f t="shared" si="370"/>
        <v>0</v>
      </c>
      <c r="P1400" s="95">
        <f>IF(SUM(D1400:O1400)=0,"",SUM(D1400:O1400))</f>
        <v>12</v>
      </c>
      <c r="Q1400" s="96">
        <f>IF(P1400="","",P1400/$P1392)</f>
        <v>3.9735099337748346E-2</v>
      </c>
      <c r="R1400" s="18"/>
    </row>
    <row r="1401" spans="2:18" ht="15.75" customHeight="1" x14ac:dyDescent="0.25">
      <c r="B1401" s="149"/>
      <c r="C1401" s="111" t="s">
        <v>89</v>
      </c>
      <c r="D1401" s="102">
        <f t="shared" ref="D1401:O1401" si="371">D1357+D1315+D1273+D1231+D1189+D1147+D1105+D1063+D1021+D979+D937+D895+D853+D811+D769+D727+D685+D643+D601+D559+D517+D475+D433+D391+D349+D307+D265+D223+D181+D139+D97+D55+D13</f>
        <v>1</v>
      </c>
      <c r="E1401" s="112">
        <f t="shared" si="371"/>
        <v>9</v>
      </c>
      <c r="F1401" s="112">
        <f t="shared" si="371"/>
        <v>7</v>
      </c>
      <c r="G1401" s="112">
        <f t="shared" si="371"/>
        <v>15</v>
      </c>
      <c r="H1401" s="112">
        <f t="shared" si="371"/>
        <v>18</v>
      </c>
      <c r="I1401" s="112">
        <f t="shared" si="371"/>
        <v>17</v>
      </c>
      <c r="J1401" s="112">
        <f t="shared" si="371"/>
        <v>13</v>
      </c>
      <c r="K1401" s="112">
        <f t="shared" si="371"/>
        <v>8</v>
      </c>
      <c r="L1401" s="112">
        <f t="shared" si="371"/>
        <v>18</v>
      </c>
      <c r="M1401" s="112">
        <f t="shared" si="371"/>
        <v>6</v>
      </c>
      <c r="N1401" s="112">
        <f t="shared" si="371"/>
        <v>0</v>
      </c>
      <c r="O1401" s="113">
        <f t="shared" si="371"/>
        <v>0</v>
      </c>
      <c r="P1401" s="103">
        <f>IF(SUM(D1401:O1401)=0,"",SUM(D1401:O1401))</f>
        <v>112</v>
      </c>
      <c r="Q1401" s="97">
        <f>IF(P1401="","",P1401/$P1392)</f>
        <v>0.37086092715231789</v>
      </c>
      <c r="R1401" s="18"/>
    </row>
    <row r="1402" spans="2:18" ht="15.75" customHeight="1" x14ac:dyDescent="0.25">
      <c r="B1402" s="149"/>
      <c r="C1402" s="111" t="s">
        <v>88</v>
      </c>
      <c r="D1402" s="102">
        <f t="shared" ref="D1402:O1402" si="372">D1358+D1316+D1274+D1232+D1190+D1148+D1106+D1064+D1022+D980+D938+D896+D854+D812+D770+D728+D686+D644+D602+D560+D518+D476+D434+D392+D350+D308+D266+D224+D182+D140+D98+D56+D14</f>
        <v>0</v>
      </c>
      <c r="E1402" s="112">
        <f t="shared" si="372"/>
        <v>0</v>
      </c>
      <c r="F1402" s="112">
        <f t="shared" si="372"/>
        <v>1</v>
      </c>
      <c r="G1402" s="112">
        <f t="shared" si="372"/>
        <v>0</v>
      </c>
      <c r="H1402" s="112">
        <f t="shared" si="372"/>
        <v>1</v>
      </c>
      <c r="I1402" s="112">
        <f t="shared" si="372"/>
        <v>6</v>
      </c>
      <c r="J1402" s="112">
        <f t="shared" si="372"/>
        <v>0</v>
      </c>
      <c r="K1402" s="112">
        <f t="shared" si="372"/>
        <v>0</v>
      </c>
      <c r="L1402" s="112">
        <f t="shared" si="372"/>
        <v>0</v>
      </c>
      <c r="M1402" s="112">
        <f t="shared" si="372"/>
        <v>0</v>
      </c>
      <c r="N1402" s="112">
        <f t="shared" si="372"/>
        <v>0</v>
      </c>
      <c r="O1402" s="113">
        <f t="shared" si="372"/>
        <v>0</v>
      </c>
      <c r="P1402" s="103">
        <f t="shared" ref="P1402:P1413" si="373">IF(SUM(D1402:O1402)=0,"",SUM(D1402:O1402))</f>
        <v>8</v>
      </c>
      <c r="Q1402" s="97">
        <f>IF(P1402="","",P1402/$P1392)</f>
        <v>2.6490066225165563E-2</v>
      </c>
      <c r="R1402" s="18"/>
    </row>
    <row r="1403" spans="2:18" ht="15.75" customHeight="1" x14ac:dyDescent="0.25">
      <c r="B1403" s="149"/>
      <c r="C1403" s="111" t="s">
        <v>13</v>
      </c>
      <c r="D1403" s="102">
        <f t="shared" ref="D1403:O1403" si="374">D1359+D1317+D1275+D1233+D1191+D1149+D1107+D1065+D1023+D981+D939+D897+D855+D813+D771+D729+D687+D645+D603+D561+D519+D477+D435+D393+D351+D309+D267+D225+D183+D141+D99+D57+D15</f>
        <v>2</v>
      </c>
      <c r="E1403" s="112">
        <f t="shared" si="374"/>
        <v>4</v>
      </c>
      <c r="F1403" s="112">
        <f t="shared" si="374"/>
        <v>5</v>
      </c>
      <c r="G1403" s="112">
        <f t="shared" si="374"/>
        <v>3</v>
      </c>
      <c r="H1403" s="112">
        <f t="shared" si="374"/>
        <v>4</v>
      </c>
      <c r="I1403" s="112">
        <f t="shared" si="374"/>
        <v>6</v>
      </c>
      <c r="J1403" s="112">
        <f t="shared" si="374"/>
        <v>9</v>
      </c>
      <c r="K1403" s="112">
        <f t="shared" si="374"/>
        <v>9</v>
      </c>
      <c r="L1403" s="112">
        <f t="shared" si="374"/>
        <v>8</v>
      </c>
      <c r="M1403" s="112">
        <f t="shared" si="374"/>
        <v>9</v>
      </c>
      <c r="N1403" s="112">
        <f t="shared" si="374"/>
        <v>0</v>
      </c>
      <c r="O1403" s="113">
        <f t="shared" si="374"/>
        <v>0</v>
      </c>
      <c r="P1403" s="103">
        <f t="shared" si="373"/>
        <v>59</v>
      </c>
      <c r="Q1403" s="97">
        <f>IF(P1403="","",P1403/$P1392)</f>
        <v>0.19536423841059603</v>
      </c>
      <c r="R1403" s="18"/>
    </row>
    <row r="1404" spans="2:18" ht="15.75" customHeight="1" x14ac:dyDescent="0.25">
      <c r="B1404" s="149"/>
      <c r="C1404" s="111" t="s">
        <v>101</v>
      </c>
      <c r="D1404" s="102">
        <f t="shared" ref="D1404:O1404" si="375">D1360+D1318+D1276+D1234+D1192+D1150+D1108+D1066+D1024+D982+D940+D898+D856+D814+D772+D730+D688+D646+D604+D562+D520+D478+D436+D394+D352+D310+D268+D226+D184+D142+D100+D58+D16</f>
        <v>0</v>
      </c>
      <c r="E1404" s="112">
        <f t="shared" si="375"/>
        <v>1</v>
      </c>
      <c r="F1404" s="112">
        <f t="shared" si="375"/>
        <v>1</v>
      </c>
      <c r="G1404" s="112">
        <f t="shared" si="375"/>
        <v>2</v>
      </c>
      <c r="H1404" s="112">
        <f t="shared" si="375"/>
        <v>2</v>
      </c>
      <c r="I1404" s="112">
        <f t="shared" si="375"/>
        <v>3</v>
      </c>
      <c r="J1404" s="112">
        <f t="shared" si="375"/>
        <v>7</v>
      </c>
      <c r="K1404" s="112">
        <f t="shared" si="375"/>
        <v>1</v>
      </c>
      <c r="L1404" s="112">
        <f t="shared" si="375"/>
        <v>0</v>
      </c>
      <c r="M1404" s="112">
        <f t="shared" si="375"/>
        <v>0</v>
      </c>
      <c r="N1404" s="112">
        <f t="shared" si="375"/>
        <v>0</v>
      </c>
      <c r="O1404" s="113">
        <f t="shared" si="375"/>
        <v>0</v>
      </c>
      <c r="P1404" s="103">
        <f t="shared" si="373"/>
        <v>17</v>
      </c>
      <c r="Q1404" s="97">
        <f>IF(P1404="","",P1404/$P1392)</f>
        <v>5.6291390728476824E-2</v>
      </c>
      <c r="R1404" s="18"/>
    </row>
    <row r="1405" spans="2:18" ht="15.75" customHeight="1" x14ac:dyDescent="0.25">
      <c r="B1405" s="149"/>
      <c r="C1405" s="111" t="s">
        <v>93</v>
      </c>
      <c r="D1405" s="102">
        <f t="shared" ref="D1405:O1405" si="376">D1361+D1319+D1277+D1235+D1193+D1151+D1109+D1067+D1025+D983+D941+D899+D857+D815+D773+D731+D689+D647+D605+D563+D521+D479+D437+D395+D353+D311+D269+D227+D185+D143+D101+D59+D17</f>
        <v>0</v>
      </c>
      <c r="E1405" s="112">
        <f t="shared" si="376"/>
        <v>0</v>
      </c>
      <c r="F1405" s="112">
        <f t="shared" si="376"/>
        <v>1</v>
      </c>
      <c r="G1405" s="112">
        <f t="shared" si="376"/>
        <v>5</v>
      </c>
      <c r="H1405" s="112">
        <f t="shared" si="376"/>
        <v>2</v>
      </c>
      <c r="I1405" s="112">
        <f t="shared" si="376"/>
        <v>2</v>
      </c>
      <c r="J1405" s="112">
        <f t="shared" si="376"/>
        <v>5</v>
      </c>
      <c r="K1405" s="112">
        <f t="shared" si="376"/>
        <v>1</v>
      </c>
      <c r="L1405" s="112">
        <f t="shared" si="376"/>
        <v>2</v>
      </c>
      <c r="M1405" s="112">
        <f t="shared" si="376"/>
        <v>5</v>
      </c>
      <c r="N1405" s="112">
        <f t="shared" si="376"/>
        <v>0</v>
      </c>
      <c r="O1405" s="113">
        <f t="shared" si="376"/>
        <v>0</v>
      </c>
      <c r="P1405" s="103">
        <f t="shared" si="373"/>
        <v>23</v>
      </c>
      <c r="Q1405" s="97">
        <f>IF(P1405="","",P1405/$P1392)</f>
        <v>7.6158940397350994E-2</v>
      </c>
      <c r="R1405" s="18"/>
    </row>
    <row r="1406" spans="2:18" ht="15.75" customHeight="1" x14ac:dyDescent="0.25">
      <c r="B1406" s="149"/>
      <c r="C1406" s="111" t="s">
        <v>78</v>
      </c>
      <c r="D1406" s="102">
        <f t="shared" ref="D1406:O1406" si="377">D1362+D1320+D1278+D1236+D1194+D1152+D1110+D1068+D1026+D984+D942+D900+D858+D816+D774+D732+D690+D648+D606+D564+D522+D480+D438+D396+D354+D312+D270+D228+D186+D144+D102+D60+D18</f>
        <v>0</v>
      </c>
      <c r="E1406" s="112">
        <f t="shared" si="377"/>
        <v>1</v>
      </c>
      <c r="F1406" s="112">
        <f t="shared" si="377"/>
        <v>0</v>
      </c>
      <c r="G1406" s="112">
        <f t="shared" si="377"/>
        <v>2</v>
      </c>
      <c r="H1406" s="112">
        <f t="shared" si="377"/>
        <v>1</v>
      </c>
      <c r="I1406" s="112">
        <f t="shared" si="377"/>
        <v>3</v>
      </c>
      <c r="J1406" s="112">
        <f t="shared" si="377"/>
        <v>0</v>
      </c>
      <c r="K1406" s="112">
        <f t="shared" si="377"/>
        <v>0</v>
      </c>
      <c r="L1406" s="112">
        <f t="shared" si="377"/>
        <v>0</v>
      </c>
      <c r="M1406" s="112">
        <f t="shared" si="377"/>
        <v>0</v>
      </c>
      <c r="N1406" s="112">
        <f t="shared" si="377"/>
        <v>0</v>
      </c>
      <c r="O1406" s="113">
        <f t="shared" si="377"/>
        <v>0</v>
      </c>
      <c r="P1406" s="103">
        <f t="shared" si="373"/>
        <v>7</v>
      </c>
      <c r="Q1406" s="97">
        <f>IF(P1406="","",P1406/$P1392)</f>
        <v>2.3178807947019868E-2</v>
      </c>
      <c r="R1406" s="18"/>
    </row>
    <row r="1407" spans="2:18" ht="15.75" customHeight="1" x14ac:dyDescent="0.25">
      <c r="B1407" s="149"/>
      <c r="C1407" s="111" t="s">
        <v>92</v>
      </c>
      <c r="D1407" s="102">
        <f t="shared" ref="D1407:O1407" si="378">D1363+D1321+D1279+D1237+D1195+D1153+D1111+D1069+D1027+D985+D943+D901+D859+D817+D775+D733+D691+D649+D607+D565+D523+D481+D439+D397+D355+D313+D271+D229+D187+D145+D103+D61+D19</f>
        <v>0</v>
      </c>
      <c r="E1407" s="112">
        <f t="shared" si="378"/>
        <v>0</v>
      </c>
      <c r="F1407" s="112">
        <f t="shared" si="378"/>
        <v>0</v>
      </c>
      <c r="G1407" s="112">
        <f t="shared" si="378"/>
        <v>0</v>
      </c>
      <c r="H1407" s="112">
        <f t="shared" si="378"/>
        <v>0</v>
      </c>
      <c r="I1407" s="112">
        <f t="shared" si="378"/>
        <v>0</v>
      </c>
      <c r="J1407" s="112">
        <f t="shared" si="378"/>
        <v>0</v>
      </c>
      <c r="K1407" s="112">
        <f t="shared" si="378"/>
        <v>0</v>
      </c>
      <c r="L1407" s="112">
        <f t="shared" si="378"/>
        <v>0</v>
      </c>
      <c r="M1407" s="112">
        <f t="shared" si="378"/>
        <v>0</v>
      </c>
      <c r="N1407" s="112">
        <f t="shared" si="378"/>
        <v>0</v>
      </c>
      <c r="O1407" s="113">
        <f t="shared" si="378"/>
        <v>0</v>
      </c>
      <c r="P1407" s="103" t="str">
        <f t="shared" si="373"/>
        <v/>
      </c>
      <c r="Q1407" s="97" t="str">
        <f>IF(P1407="","",P1407/$P1392)</f>
        <v/>
      </c>
      <c r="R1407" s="18"/>
    </row>
    <row r="1408" spans="2:18" ht="15.75" customHeight="1" x14ac:dyDescent="0.25">
      <c r="B1408" s="149"/>
      <c r="C1408" s="111" t="s">
        <v>91</v>
      </c>
      <c r="D1408" s="102">
        <f t="shared" ref="D1408:O1408" si="379">D1364+D1322+D1280+D1238+D1196+D1154+D1112+D1070+D1028+D986+D944+D902+D860+D818+D776+D734+D692+D650+D608+D566+D524+D482+D440+D398+D356+D314+D272+D230+D188+D146+D104+D62+D20</f>
        <v>1</v>
      </c>
      <c r="E1408" s="112">
        <f t="shared" si="379"/>
        <v>1</v>
      </c>
      <c r="F1408" s="112">
        <f t="shared" si="379"/>
        <v>7</v>
      </c>
      <c r="G1408" s="112">
        <f t="shared" si="379"/>
        <v>2</v>
      </c>
      <c r="H1408" s="112">
        <f t="shared" si="379"/>
        <v>5</v>
      </c>
      <c r="I1408" s="112">
        <f t="shared" si="379"/>
        <v>3</v>
      </c>
      <c r="J1408" s="112">
        <f t="shared" si="379"/>
        <v>8</v>
      </c>
      <c r="K1408" s="112">
        <f t="shared" si="379"/>
        <v>0</v>
      </c>
      <c r="L1408" s="112">
        <f t="shared" si="379"/>
        <v>1</v>
      </c>
      <c r="M1408" s="112">
        <f t="shared" si="379"/>
        <v>1</v>
      </c>
      <c r="N1408" s="112">
        <f t="shared" si="379"/>
        <v>0</v>
      </c>
      <c r="O1408" s="113">
        <f t="shared" si="379"/>
        <v>0</v>
      </c>
      <c r="P1408" s="103">
        <f t="shared" si="373"/>
        <v>29</v>
      </c>
      <c r="Q1408" s="97">
        <f>IF(P1408="","",P1408/$P1392)</f>
        <v>9.602649006622517E-2</v>
      </c>
      <c r="R1408" s="18"/>
    </row>
    <row r="1409" spans="2:18" ht="15.75" customHeight="1" x14ac:dyDescent="0.25">
      <c r="B1409" s="149"/>
      <c r="C1409" s="111" t="s">
        <v>79</v>
      </c>
      <c r="D1409" s="102">
        <f t="shared" ref="D1409:O1409" si="380">D1365+D1323+D1281+D1239+D1197+D1155+D1113+D1071+D1029+D987+D945+D903+D861+D819+D777+D735+D693+D651+D609+D567+D525+D483+D441+D399+D357+D315+D273+D231+D189+D147+D105+D63+D21</f>
        <v>0</v>
      </c>
      <c r="E1409" s="112">
        <f t="shared" si="380"/>
        <v>0</v>
      </c>
      <c r="F1409" s="112">
        <f t="shared" si="380"/>
        <v>0</v>
      </c>
      <c r="G1409" s="112">
        <f t="shared" si="380"/>
        <v>0</v>
      </c>
      <c r="H1409" s="112">
        <f t="shared" si="380"/>
        <v>0</v>
      </c>
      <c r="I1409" s="112">
        <f t="shared" si="380"/>
        <v>0</v>
      </c>
      <c r="J1409" s="112">
        <f t="shared" si="380"/>
        <v>1</v>
      </c>
      <c r="K1409" s="112">
        <f t="shared" si="380"/>
        <v>0</v>
      </c>
      <c r="L1409" s="112">
        <f t="shared" si="380"/>
        <v>0</v>
      </c>
      <c r="M1409" s="112">
        <f t="shared" si="380"/>
        <v>0</v>
      </c>
      <c r="N1409" s="112">
        <f t="shared" si="380"/>
        <v>0</v>
      </c>
      <c r="O1409" s="113">
        <f t="shared" si="380"/>
        <v>0</v>
      </c>
      <c r="P1409" s="103">
        <f t="shared" si="373"/>
        <v>1</v>
      </c>
      <c r="Q1409" s="97">
        <f>IF(P1409="","",P1409/$P1392)</f>
        <v>3.3112582781456954E-3</v>
      </c>
      <c r="R1409" s="18"/>
    </row>
    <row r="1410" spans="2:18" ht="15.75" customHeight="1" x14ac:dyDescent="0.25">
      <c r="B1410" s="149"/>
      <c r="C1410" s="111" t="s">
        <v>80</v>
      </c>
      <c r="D1410" s="102">
        <f t="shared" ref="D1410:O1410" si="381">D1366+D1324+D1282+D1240+D1198+D1156+D1114+D1072+D1030+D988+D946+D904+D862+D820+D778+D736+D694+D652+D610+D568+D526+D484+D442+D400+D358+D316+D274+D232+D190+D148+D106+D64+D22</f>
        <v>0</v>
      </c>
      <c r="E1410" s="112">
        <f t="shared" si="381"/>
        <v>0</v>
      </c>
      <c r="F1410" s="112">
        <f t="shared" si="381"/>
        <v>0</v>
      </c>
      <c r="G1410" s="112">
        <f t="shared" si="381"/>
        <v>0</v>
      </c>
      <c r="H1410" s="112">
        <f t="shared" si="381"/>
        <v>0</v>
      </c>
      <c r="I1410" s="112">
        <f t="shared" si="381"/>
        <v>0</v>
      </c>
      <c r="J1410" s="112">
        <f t="shared" si="381"/>
        <v>0</v>
      </c>
      <c r="K1410" s="112">
        <f t="shared" si="381"/>
        <v>0</v>
      </c>
      <c r="L1410" s="112">
        <f t="shared" si="381"/>
        <v>0</v>
      </c>
      <c r="M1410" s="112">
        <f t="shared" si="381"/>
        <v>0</v>
      </c>
      <c r="N1410" s="112">
        <f t="shared" si="381"/>
        <v>0</v>
      </c>
      <c r="O1410" s="113">
        <f t="shared" si="381"/>
        <v>0</v>
      </c>
      <c r="P1410" s="103" t="str">
        <f t="shared" si="373"/>
        <v/>
      </c>
      <c r="Q1410" s="97" t="str">
        <f>IF(P1410="","",P1410/$P1392)</f>
        <v/>
      </c>
      <c r="R1410" s="18"/>
    </row>
    <row r="1411" spans="2:18" ht="15.75" customHeight="1" x14ac:dyDescent="0.25">
      <c r="B1411" s="149"/>
      <c r="C1411" s="111" t="s">
        <v>81</v>
      </c>
      <c r="D1411" s="102">
        <f t="shared" ref="D1411:O1411" si="382">D1367+D1325+D1283+D1241+D1199+D1157+D1115+D1073+D1031+D989+D947+D905+D863+D821+D779+D737+D695+D653+D611+D569+D527+D485+D443+D401+D359+D317+D275+D233+D191+D149+D107+D65+D23</f>
        <v>0</v>
      </c>
      <c r="E1411" s="112">
        <f t="shared" si="382"/>
        <v>0</v>
      </c>
      <c r="F1411" s="112">
        <f t="shared" si="382"/>
        <v>0</v>
      </c>
      <c r="G1411" s="112">
        <f t="shared" si="382"/>
        <v>0</v>
      </c>
      <c r="H1411" s="112">
        <f t="shared" si="382"/>
        <v>0</v>
      </c>
      <c r="I1411" s="112">
        <f t="shared" si="382"/>
        <v>0</v>
      </c>
      <c r="J1411" s="112">
        <f t="shared" si="382"/>
        <v>1</v>
      </c>
      <c r="K1411" s="112">
        <f t="shared" si="382"/>
        <v>0</v>
      </c>
      <c r="L1411" s="112">
        <f t="shared" si="382"/>
        <v>2</v>
      </c>
      <c r="M1411" s="112">
        <f t="shared" si="382"/>
        <v>2</v>
      </c>
      <c r="N1411" s="112">
        <f t="shared" si="382"/>
        <v>0</v>
      </c>
      <c r="O1411" s="113">
        <f t="shared" si="382"/>
        <v>0</v>
      </c>
      <c r="P1411" s="103">
        <f t="shared" si="373"/>
        <v>5</v>
      </c>
      <c r="Q1411" s="97">
        <f>IF(P1411="","",P1411/$P1392)</f>
        <v>1.6556291390728478E-2</v>
      </c>
      <c r="R1411" s="18"/>
    </row>
    <row r="1412" spans="2:18" ht="15.75" customHeight="1" x14ac:dyDescent="0.25">
      <c r="B1412" s="149"/>
      <c r="C1412" s="111" t="s">
        <v>82</v>
      </c>
      <c r="D1412" s="102">
        <f t="shared" ref="D1412:O1412" si="383">D1368+D1326+D1284+D1242+D1200+D1158+D1116+D1074+D1032+D990+D948+D906+D864+D822+D780+D738+D696+D654+D612+D570+D528+D486+D444+D402+D360+D318+D276+D234+D192+D150+D108+D66+D24</f>
        <v>0</v>
      </c>
      <c r="E1412" s="112">
        <f t="shared" si="383"/>
        <v>0</v>
      </c>
      <c r="F1412" s="112">
        <f t="shared" si="383"/>
        <v>0</v>
      </c>
      <c r="G1412" s="112">
        <f t="shared" si="383"/>
        <v>0</v>
      </c>
      <c r="H1412" s="112">
        <f t="shared" si="383"/>
        <v>1</v>
      </c>
      <c r="I1412" s="112">
        <f t="shared" si="383"/>
        <v>0</v>
      </c>
      <c r="J1412" s="112">
        <f t="shared" si="383"/>
        <v>0</v>
      </c>
      <c r="K1412" s="112">
        <f t="shared" si="383"/>
        <v>0</v>
      </c>
      <c r="L1412" s="112">
        <f t="shared" si="383"/>
        <v>0</v>
      </c>
      <c r="M1412" s="112">
        <f t="shared" si="383"/>
        <v>0</v>
      </c>
      <c r="N1412" s="112">
        <f t="shared" si="383"/>
        <v>0</v>
      </c>
      <c r="O1412" s="113">
        <f t="shared" si="383"/>
        <v>0</v>
      </c>
      <c r="P1412" s="103">
        <f t="shared" si="373"/>
        <v>1</v>
      </c>
      <c r="Q1412" s="97">
        <f>IF(P1412="","",P1412/$P1392)</f>
        <v>3.3112582781456954E-3</v>
      </c>
      <c r="R1412" s="18"/>
    </row>
    <row r="1413" spans="2:18" ht="15.75" customHeight="1" thickBot="1" x14ac:dyDescent="0.3">
      <c r="B1413" s="150"/>
      <c r="C1413" s="111" t="s">
        <v>83</v>
      </c>
      <c r="D1413" s="102">
        <f t="shared" ref="D1413:O1413" si="384">D1369+D1327+D1285+D1243+D1201+D1159+D1117+D1075+D1033+D991+D949+D907+D865+D823+D781+D739+D697+D655+D613+D571+D529+D487+D445+D403+D361+D319+D277+D235+D193+D151+D109+D67+D25</f>
        <v>0</v>
      </c>
      <c r="E1413" s="112">
        <f t="shared" si="384"/>
        <v>0</v>
      </c>
      <c r="F1413" s="112">
        <f t="shared" si="384"/>
        <v>0</v>
      </c>
      <c r="G1413" s="112">
        <f t="shared" si="384"/>
        <v>0</v>
      </c>
      <c r="H1413" s="112">
        <f t="shared" si="384"/>
        <v>1</v>
      </c>
      <c r="I1413" s="112">
        <f t="shared" si="384"/>
        <v>0</v>
      </c>
      <c r="J1413" s="112">
        <f t="shared" si="384"/>
        <v>0</v>
      </c>
      <c r="K1413" s="112">
        <f t="shared" si="384"/>
        <v>0</v>
      </c>
      <c r="L1413" s="112">
        <f t="shared" si="384"/>
        <v>0</v>
      </c>
      <c r="M1413" s="112">
        <f t="shared" si="384"/>
        <v>0</v>
      </c>
      <c r="N1413" s="112">
        <f t="shared" si="384"/>
        <v>0</v>
      </c>
      <c r="O1413" s="113">
        <f t="shared" si="384"/>
        <v>0</v>
      </c>
      <c r="P1413" s="103">
        <f t="shared" si="373"/>
        <v>1</v>
      </c>
      <c r="Q1413" s="97">
        <f>IF(P1413="","",P1413/$P1392)</f>
        <v>3.3112582781456954E-3</v>
      </c>
      <c r="R1413" s="18"/>
    </row>
    <row r="1414" spans="2:18" ht="15.75" customHeight="1" x14ac:dyDescent="0.25">
      <c r="B1414" s="151" t="s">
        <v>90</v>
      </c>
      <c r="C1414" s="114" t="s">
        <v>118</v>
      </c>
      <c r="D1414" s="115">
        <f>D1370+D1328+D1286+D1244+D1202+D1160+D1118+D1076+D1034+D992+D950+D908+D866+D824+D782+D740+D698+D656+D614+D572+D530+D488+D446+D404+D362+D320+D278+D236+D194+D152+D110+D68+D26</f>
        <v>1</v>
      </c>
      <c r="E1414" s="116">
        <f t="shared" ref="E1414:N1414" si="385">E1370+E1328+E1286+E1244+E1202+E1160+E1118+E1076+E1034+E992+E950+E908+E866+E824+E782+E740+E698+E656+E614+E572+E530+E488+E446+E404+E362+E320+E278+E236+E194+E152+E110+E68+E26</f>
        <v>8</v>
      </c>
      <c r="F1414" s="116">
        <f t="shared" si="385"/>
        <v>11</v>
      </c>
      <c r="G1414" s="116">
        <f t="shared" si="385"/>
        <v>16</v>
      </c>
      <c r="H1414" s="116">
        <f t="shared" si="385"/>
        <v>14</v>
      </c>
      <c r="I1414" s="116">
        <f t="shared" si="385"/>
        <v>26</v>
      </c>
      <c r="J1414" s="116">
        <f t="shared" si="385"/>
        <v>22</v>
      </c>
      <c r="K1414" s="116">
        <f t="shared" si="385"/>
        <v>22</v>
      </c>
      <c r="L1414" s="116">
        <f t="shared" si="385"/>
        <v>13</v>
      </c>
      <c r="M1414" s="116">
        <f t="shared" si="385"/>
        <v>12</v>
      </c>
      <c r="N1414" s="116">
        <f t="shared" si="385"/>
        <v>0</v>
      </c>
      <c r="O1414" s="117">
        <f>O1370+O1328+O1286+O1244+O1202+O1160+O1118+O1076+O1034+O992+O950+O908+O866+O824+O782+O740+O698+O656+O614+O572+O530+O488+O446+O404+O362+O320+O278+O236+O194+O152+O110+O68+O26</f>
        <v>0</v>
      </c>
      <c r="P1414" s="118">
        <f>SUM(D1414:O1414)</f>
        <v>145</v>
      </c>
      <c r="Q1414" s="96">
        <f>IF(P1414=0,"",P1414/$P1398)</f>
        <v>0.93548387096774188</v>
      </c>
      <c r="R1414" s="18"/>
    </row>
    <row r="1415" spans="2:18" ht="15.75" customHeight="1" x14ac:dyDescent="0.25">
      <c r="B1415" s="152"/>
      <c r="C1415" s="119" t="s">
        <v>77</v>
      </c>
      <c r="D1415" s="120">
        <f>D1371+D1329+D1287+D1245+D1203+D1161+D1119+D1077+D1035+D993+D951+D909+D867+D825+D783+D741+D699+D657+D615+D573+D531+D489+D447+D405+D363+D321+D279+D237+D195+D153+D111+D69+D27</f>
        <v>0</v>
      </c>
      <c r="E1415" s="121">
        <f t="shared" ref="E1415:O1415" si="386">E1371+E1329+E1287+E1245+E1203+E1161+E1119+E1077+E1035+E993+E951+E909+E867+E825+E783+E741+E699+E657+E615+E573+E531+E489+E447+E405+E363+E321+E279+E237+E195+E153+E111+E69+E27</f>
        <v>1</v>
      </c>
      <c r="F1415" s="121">
        <f t="shared" si="386"/>
        <v>3</v>
      </c>
      <c r="G1415" s="121">
        <f t="shared" si="386"/>
        <v>2</v>
      </c>
      <c r="H1415" s="121">
        <f t="shared" si="386"/>
        <v>3</v>
      </c>
      <c r="I1415" s="121">
        <f t="shared" si="386"/>
        <v>3</v>
      </c>
      <c r="J1415" s="121">
        <f t="shared" si="386"/>
        <v>2</v>
      </c>
      <c r="K1415" s="121">
        <f t="shared" si="386"/>
        <v>2</v>
      </c>
      <c r="L1415" s="121">
        <f t="shared" si="386"/>
        <v>0</v>
      </c>
      <c r="M1415" s="121">
        <f t="shared" si="386"/>
        <v>1</v>
      </c>
      <c r="N1415" s="121">
        <f t="shared" si="386"/>
        <v>0</v>
      </c>
      <c r="O1415" s="122">
        <f t="shared" si="386"/>
        <v>0</v>
      </c>
      <c r="P1415" s="123">
        <f t="shared" ref="P1415:P1423" si="387">SUM(D1415:O1415)</f>
        <v>17</v>
      </c>
      <c r="Q1415" s="124">
        <f>IF(P1415=0,"",P1415/$P1398)</f>
        <v>0.10967741935483871</v>
      </c>
      <c r="R1415" s="18"/>
    </row>
    <row r="1416" spans="2:18" ht="15.75" customHeight="1" x14ac:dyDescent="0.25">
      <c r="B1416" s="152"/>
      <c r="C1416" s="119" t="s">
        <v>108</v>
      </c>
      <c r="D1416" s="120">
        <f>D1372+D1330+D1288+D1246+D1204+D1162+D1120+D1078+D1036+D994+D952+D910+D868+D826+D784+D742+D700+D658+D616+D574+D532+D490+D448+D406+D364+D322+D280+D238+D196+D154+D112+D70+D28</f>
        <v>1</v>
      </c>
      <c r="E1416" s="121">
        <f t="shared" ref="E1416:O1416" si="388">E1372+E1330+E1288+E1246+E1204+E1162+E1120+E1078+E1036+E994+E952+E910+E868+E826+E784+E742+E700+E658+E616+E574+E532+E490+E448+E406+E364+E322+E280+E238+E196+E154+E112+E70+E28</f>
        <v>5</v>
      </c>
      <c r="F1416" s="121">
        <f t="shared" si="388"/>
        <v>6</v>
      </c>
      <c r="G1416" s="121">
        <f t="shared" si="388"/>
        <v>7</v>
      </c>
      <c r="H1416" s="121">
        <f t="shared" si="388"/>
        <v>9</v>
      </c>
      <c r="I1416" s="121">
        <f t="shared" si="388"/>
        <v>8</v>
      </c>
      <c r="J1416" s="121">
        <f t="shared" si="388"/>
        <v>9</v>
      </c>
      <c r="K1416" s="121">
        <f t="shared" si="388"/>
        <v>9</v>
      </c>
      <c r="L1416" s="121">
        <f t="shared" si="388"/>
        <v>8</v>
      </c>
      <c r="M1416" s="121">
        <f t="shared" si="388"/>
        <v>1</v>
      </c>
      <c r="N1416" s="121">
        <f t="shared" si="388"/>
        <v>0</v>
      </c>
      <c r="O1416" s="122">
        <f t="shared" si="388"/>
        <v>0</v>
      </c>
      <c r="P1416" s="123">
        <f t="shared" si="387"/>
        <v>63</v>
      </c>
      <c r="Q1416" s="124">
        <f>IF(P1416=0,"",P1416/$P1398)</f>
        <v>0.40645161290322579</v>
      </c>
      <c r="R1416" s="18"/>
    </row>
    <row r="1417" spans="2:18" ht="15.75" customHeight="1" x14ac:dyDescent="0.25">
      <c r="B1417" s="152"/>
      <c r="C1417" s="119" t="s">
        <v>88</v>
      </c>
      <c r="D1417" s="120">
        <f t="shared" ref="D1417:O1417" si="389">D1373+D1331+D1289+D1247+D1205+D1163+D1121+D1079+D1037+D995+D953+D911+D869+D827+D785+D743+D701+D659+D617+D575+D533+D491+D449+D407+D365+D323+D281+D239+D197+D155+D113+D71+D29</f>
        <v>0</v>
      </c>
      <c r="E1417" s="121">
        <f t="shared" si="389"/>
        <v>0</v>
      </c>
      <c r="F1417" s="121">
        <f t="shared" si="389"/>
        <v>0</v>
      </c>
      <c r="G1417" s="121">
        <f t="shared" si="389"/>
        <v>0</v>
      </c>
      <c r="H1417" s="121">
        <f t="shared" si="389"/>
        <v>0</v>
      </c>
      <c r="I1417" s="121">
        <f t="shared" si="389"/>
        <v>0</v>
      </c>
      <c r="J1417" s="121">
        <f t="shared" si="389"/>
        <v>0</v>
      </c>
      <c r="K1417" s="121">
        <f t="shared" si="389"/>
        <v>0</v>
      </c>
      <c r="L1417" s="121">
        <f t="shared" si="389"/>
        <v>0</v>
      </c>
      <c r="M1417" s="121">
        <f t="shared" si="389"/>
        <v>0</v>
      </c>
      <c r="N1417" s="121">
        <f t="shared" si="389"/>
        <v>0</v>
      </c>
      <c r="O1417" s="122">
        <f t="shared" si="389"/>
        <v>0</v>
      </c>
      <c r="P1417" s="123">
        <f t="shared" si="387"/>
        <v>0</v>
      </c>
      <c r="Q1417" s="124" t="str">
        <f>IF(P1417=0,"",P1417/$P1398)</f>
        <v/>
      </c>
      <c r="R1417" s="18"/>
    </row>
    <row r="1418" spans="2:18" ht="15.75" customHeight="1" x14ac:dyDescent="0.25">
      <c r="B1418" s="152"/>
      <c r="C1418" s="119" t="s">
        <v>109</v>
      </c>
      <c r="D1418" s="120">
        <f t="shared" ref="D1418:O1418" si="390">D1374+D1332+D1290+D1248+D1206+D1164+D1122+D1080+D1038+D996+D954+D912+D870+D828+D786+D744+D702+D660+D618+D576+D534+D492+D450+D408+D366+D324+D282+D240+D198+D156+D114+D72+D30</f>
        <v>0</v>
      </c>
      <c r="E1418" s="121">
        <f t="shared" si="390"/>
        <v>0</v>
      </c>
      <c r="F1418" s="121">
        <f t="shared" si="390"/>
        <v>0</v>
      </c>
      <c r="G1418" s="121">
        <f t="shared" si="390"/>
        <v>0</v>
      </c>
      <c r="H1418" s="121">
        <f t="shared" si="390"/>
        <v>0</v>
      </c>
      <c r="I1418" s="121">
        <f t="shared" si="390"/>
        <v>7</v>
      </c>
      <c r="J1418" s="121">
        <f t="shared" si="390"/>
        <v>2</v>
      </c>
      <c r="K1418" s="121">
        <f t="shared" si="390"/>
        <v>2</v>
      </c>
      <c r="L1418" s="121">
        <f t="shared" si="390"/>
        <v>2</v>
      </c>
      <c r="M1418" s="121">
        <f t="shared" si="390"/>
        <v>4</v>
      </c>
      <c r="N1418" s="121">
        <f t="shared" si="390"/>
        <v>0</v>
      </c>
      <c r="O1418" s="122">
        <f t="shared" si="390"/>
        <v>0</v>
      </c>
      <c r="P1418" s="123">
        <f t="shared" si="387"/>
        <v>17</v>
      </c>
      <c r="Q1418" s="124">
        <f>IF(P1418=0,"",P1418/$P1398)</f>
        <v>0.10967741935483871</v>
      </c>
      <c r="R1418" s="18"/>
    </row>
    <row r="1419" spans="2:18" ht="15.75" customHeight="1" x14ac:dyDescent="0.25">
      <c r="B1419" s="152"/>
      <c r="C1419" s="119" t="s">
        <v>110</v>
      </c>
      <c r="D1419" s="120">
        <f t="shared" ref="D1419:O1419" si="391">D1375+D1333+D1291+D1249+D1207+D1165+D1123+D1081+D1039+D997+D955+D913+D871+D829+D787+D745+D703+D661+D619+D577+D535+D493+D451+D409+D367+D325+D283+D241+D199+D157+D115+D73+D31</f>
        <v>0</v>
      </c>
      <c r="E1419" s="121">
        <f t="shared" si="391"/>
        <v>1</v>
      </c>
      <c r="F1419" s="121">
        <f t="shared" si="391"/>
        <v>0</v>
      </c>
      <c r="G1419" s="121">
        <f t="shared" si="391"/>
        <v>0</v>
      </c>
      <c r="H1419" s="121">
        <f t="shared" si="391"/>
        <v>1</v>
      </c>
      <c r="I1419" s="121">
        <f t="shared" si="391"/>
        <v>1</v>
      </c>
      <c r="J1419" s="121">
        <f t="shared" si="391"/>
        <v>3</v>
      </c>
      <c r="K1419" s="121">
        <f t="shared" si="391"/>
        <v>3</v>
      </c>
      <c r="L1419" s="121">
        <f t="shared" si="391"/>
        <v>2</v>
      </c>
      <c r="M1419" s="121">
        <f t="shared" si="391"/>
        <v>2</v>
      </c>
      <c r="N1419" s="121">
        <f t="shared" si="391"/>
        <v>0</v>
      </c>
      <c r="O1419" s="122">
        <f t="shared" si="391"/>
        <v>0</v>
      </c>
      <c r="P1419" s="123">
        <f t="shared" si="387"/>
        <v>13</v>
      </c>
      <c r="Q1419" s="124">
        <f>IF(P1419=0,"",P1419/$P1398)</f>
        <v>8.387096774193549E-2</v>
      </c>
      <c r="R1419" s="18"/>
    </row>
    <row r="1420" spans="2:18" ht="15.75" customHeight="1" x14ac:dyDescent="0.25">
      <c r="B1420" s="152"/>
      <c r="C1420" s="125" t="s">
        <v>107</v>
      </c>
      <c r="D1420" s="126">
        <f t="shared" ref="D1420:O1420" si="392">D1376+D1334+D1292+D1250+D1208+D1166+D1124+D1082+D1040+D998+D956+D914+D872+D830+D788+D746+D704+D662+D620+D578+D536+D494+D452+D410+D368+D326+D284+D242+D200+D158+D116+D74+D32</f>
        <v>0</v>
      </c>
      <c r="E1420" s="127">
        <f t="shared" si="392"/>
        <v>1</v>
      </c>
      <c r="F1420" s="127">
        <f t="shared" si="392"/>
        <v>1</v>
      </c>
      <c r="G1420" s="127">
        <f t="shared" si="392"/>
        <v>3</v>
      </c>
      <c r="H1420" s="127">
        <f t="shared" si="392"/>
        <v>1</v>
      </c>
      <c r="I1420" s="127">
        <f t="shared" si="392"/>
        <v>1</v>
      </c>
      <c r="J1420" s="127">
        <f t="shared" si="392"/>
        <v>5</v>
      </c>
      <c r="K1420" s="127">
        <f t="shared" si="392"/>
        <v>5</v>
      </c>
      <c r="L1420" s="127">
        <f t="shared" si="392"/>
        <v>0</v>
      </c>
      <c r="M1420" s="127">
        <f t="shared" si="392"/>
        <v>0</v>
      </c>
      <c r="N1420" s="127">
        <f t="shared" si="392"/>
        <v>0</v>
      </c>
      <c r="O1420" s="128">
        <f t="shared" si="392"/>
        <v>0</v>
      </c>
      <c r="P1420" s="123">
        <f t="shared" si="387"/>
        <v>17</v>
      </c>
      <c r="Q1420" s="124">
        <f>IF(P1420=0,"",P1420/$P1398)</f>
        <v>0.10967741935483871</v>
      </c>
      <c r="R1420" s="18"/>
    </row>
    <row r="1421" spans="2:18" ht="15.75" customHeight="1" x14ac:dyDescent="0.25">
      <c r="B1421" s="152"/>
      <c r="C1421" s="125" t="s">
        <v>87</v>
      </c>
      <c r="D1421" s="126">
        <f t="shared" ref="D1421:O1421" si="393">D1377+D1335+D1293+D1251+D1209+D1167+D1125+D1083+D1041+D999+D957+D915+D873+D831+D789+D747+D705+D663+D621+D579+D537+D495+D453+D411+D369+D327+D285+D243+D201+D159+D117+D75+D33</f>
        <v>0</v>
      </c>
      <c r="E1421" s="127">
        <f t="shared" si="393"/>
        <v>0</v>
      </c>
      <c r="F1421" s="127">
        <f t="shared" si="393"/>
        <v>1</v>
      </c>
      <c r="G1421" s="127">
        <f t="shared" si="393"/>
        <v>2</v>
      </c>
      <c r="H1421" s="127">
        <f t="shared" si="393"/>
        <v>0</v>
      </c>
      <c r="I1421" s="127">
        <f t="shared" si="393"/>
        <v>4</v>
      </c>
      <c r="J1421" s="127">
        <f t="shared" si="393"/>
        <v>1</v>
      </c>
      <c r="K1421" s="127">
        <f t="shared" si="393"/>
        <v>1</v>
      </c>
      <c r="L1421" s="127">
        <f t="shared" si="393"/>
        <v>1</v>
      </c>
      <c r="M1421" s="127">
        <f t="shared" si="393"/>
        <v>4</v>
      </c>
      <c r="N1421" s="127">
        <f t="shared" si="393"/>
        <v>0</v>
      </c>
      <c r="O1421" s="128">
        <f t="shared" si="393"/>
        <v>0</v>
      </c>
      <c r="P1421" s="123">
        <f t="shared" si="387"/>
        <v>14</v>
      </c>
      <c r="Q1421" s="124">
        <f>IF(P1421=0,"",P1421/$P1398)</f>
        <v>9.0322580645161285E-2</v>
      </c>
      <c r="R1421" s="18"/>
    </row>
    <row r="1422" spans="2:18" ht="15.75" customHeight="1" x14ac:dyDescent="0.25">
      <c r="B1422" s="152"/>
      <c r="C1422" s="119" t="s">
        <v>111</v>
      </c>
      <c r="D1422" s="120">
        <f t="shared" ref="D1422:O1422" si="394">D1378+D1336+D1294+D1252+D1210+D1168+D1126+D1084+D1042+D1000+D958+D916+D874+D832+D790+D748+D706+D664+D622+D580+D538+D496+D454+D412+D370+D328+D286+D244+D202+D160+D118+D76+D34</f>
        <v>0</v>
      </c>
      <c r="E1422" s="121">
        <f t="shared" si="394"/>
        <v>0</v>
      </c>
      <c r="F1422" s="121">
        <f t="shared" si="394"/>
        <v>0</v>
      </c>
      <c r="G1422" s="121">
        <f t="shared" si="394"/>
        <v>2</v>
      </c>
      <c r="H1422" s="121">
        <f t="shared" si="394"/>
        <v>0</v>
      </c>
      <c r="I1422" s="121">
        <f t="shared" si="394"/>
        <v>2</v>
      </c>
      <c r="J1422" s="121">
        <f t="shared" si="394"/>
        <v>0</v>
      </c>
      <c r="K1422" s="121">
        <f t="shared" si="394"/>
        <v>0</v>
      </c>
      <c r="L1422" s="121">
        <f t="shared" si="394"/>
        <v>0</v>
      </c>
      <c r="M1422" s="121">
        <f t="shared" si="394"/>
        <v>0</v>
      </c>
      <c r="N1422" s="121">
        <f t="shared" si="394"/>
        <v>0</v>
      </c>
      <c r="O1422" s="122">
        <f t="shared" si="394"/>
        <v>0</v>
      </c>
      <c r="P1422" s="123">
        <f t="shared" si="387"/>
        <v>4</v>
      </c>
      <c r="Q1422" s="124">
        <f>IF(P1422=0,"",P1422/$P1398)</f>
        <v>2.5806451612903226E-2</v>
      </c>
      <c r="R1422" s="18"/>
    </row>
    <row r="1423" spans="2:18" ht="15.75" customHeight="1" x14ac:dyDescent="0.25">
      <c r="B1423" s="152"/>
      <c r="C1423" s="119" t="s">
        <v>112</v>
      </c>
      <c r="D1423" s="120">
        <f t="shared" ref="D1423:O1423" si="395">D1379+D1337+D1295+D1253+D1211+D1169+D1127+D1085+D1043+D1001+D959+D917+D875+D833+D791+D749+D707+D665+D623+D581+D539+D497+D455+D413+D371+D329+D287+D245+D203+D161+D119+D77+D35</f>
        <v>0</v>
      </c>
      <c r="E1423" s="121">
        <f t="shared" si="395"/>
        <v>0</v>
      </c>
      <c r="F1423" s="121">
        <f t="shared" si="395"/>
        <v>0</v>
      </c>
      <c r="G1423" s="121">
        <f t="shared" si="395"/>
        <v>0</v>
      </c>
      <c r="H1423" s="121">
        <f t="shared" si="395"/>
        <v>0</v>
      </c>
      <c r="I1423" s="121">
        <f t="shared" si="395"/>
        <v>0</v>
      </c>
      <c r="J1423" s="121">
        <f t="shared" si="395"/>
        <v>0</v>
      </c>
      <c r="K1423" s="121">
        <f t="shared" si="395"/>
        <v>0</v>
      </c>
      <c r="L1423" s="121">
        <f t="shared" si="395"/>
        <v>0</v>
      </c>
      <c r="M1423" s="121">
        <f t="shared" si="395"/>
        <v>0</v>
      </c>
      <c r="N1423" s="121">
        <f t="shared" si="395"/>
        <v>0</v>
      </c>
      <c r="O1423" s="122">
        <f t="shared" si="395"/>
        <v>0</v>
      </c>
      <c r="P1423" s="123">
        <f t="shared" si="387"/>
        <v>0</v>
      </c>
      <c r="Q1423" s="124" t="str">
        <f>IF(P1423=0,"",P1423/$P1398)</f>
        <v/>
      </c>
      <c r="R1423" s="18"/>
    </row>
    <row r="1424" spans="2:18" ht="15.75" customHeight="1" x14ac:dyDescent="0.25">
      <c r="B1424" s="153"/>
      <c r="C1424" s="129" t="s">
        <v>119</v>
      </c>
      <c r="D1424" s="130">
        <f>D1380+D1338+D1296+D1254+D1212+D1170+D1128+D1086+D1044+D1002+D960+D918+D876+D834+D792+D750+D708+D666+D624+D582+D540+D498+D456+D414+D372+D330+D288+D246+D204+D162+D120+D78+D36</f>
        <v>1</v>
      </c>
      <c r="E1424" s="131">
        <f t="shared" ref="E1424:O1424" si="396">E1380+E1338+E1296+E1254+E1212+E1170+E1128+E1086+E1044+E1002+E960+E918+E876+E834+E792+E750+E708+E666+E624+E582+E540+E498+E456+E414+E372+E330+E288+E246+E204+E162+E120+E78+E36</f>
        <v>1</v>
      </c>
      <c r="F1424" s="131">
        <f t="shared" si="396"/>
        <v>5</v>
      </c>
      <c r="G1424" s="131">
        <f t="shared" si="396"/>
        <v>1</v>
      </c>
      <c r="H1424" s="131">
        <f t="shared" si="396"/>
        <v>3</v>
      </c>
      <c r="I1424" s="131">
        <f t="shared" si="396"/>
        <v>3</v>
      </c>
      <c r="J1424" s="131">
        <f t="shared" si="396"/>
        <v>4</v>
      </c>
      <c r="K1424" s="131">
        <f t="shared" si="396"/>
        <v>4</v>
      </c>
      <c r="L1424" s="131">
        <f t="shared" si="396"/>
        <v>1</v>
      </c>
      <c r="M1424" s="131">
        <f t="shared" si="396"/>
        <v>2</v>
      </c>
      <c r="N1424" s="131">
        <f t="shared" si="396"/>
        <v>0</v>
      </c>
      <c r="O1424" s="132">
        <f t="shared" si="396"/>
        <v>0</v>
      </c>
      <c r="P1424" s="133">
        <f>SUM(D1424:O1424)</f>
        <v>25</v>
      </c>
      <c r="Q1424" s="97">
        <f>IF(P1424=0,"",P1424/$P1398)</f>
        <v>0.16129032258064516</v>
      </c>
      <c r="R1424" s="18"/>
    </row>
    <row r="1425" spans="2:18" ht="15.75" customHeight="1" x14ac:dyDescent="0.25">
      <c r="B1425" s="153"/>
      <c r="C1425" s="119" t="s">
        <v>113</v>
      </c>
      <c r="D1425" s="134">
        <f t="shared" ref="D1425:F1425" si="397">D1381+D1339+D1297+D1255+D1213+D1171+D1129+D1087+D1045+D1003+D961+D919+D877+D835+D793+D751+D709+D667+D625+D583+D541+D499+D457+D415+D373+D331+D289+D247+D205+D163+D121+D79+D37</f>
        <v>1</v>
      </c>
      <c r="E1425" s="135">
        <f t="shared" si="397"/>
        <v>0</v>
      </c>
      <c r="F1425" s="135">
        <f t="shared" si="397"/>
        <v>0</v>
      </c>
      <c r="G1425" s="121">
        <f t="shared" ref="G1425:O1425" si="398">G1381+G1339+G1297+G1255+G1213+G1171+G1129+G1087+G1045+G1003+G961+G919+G877+G835+G793+G751+G709+G667+G625+G583+G541+G499+G457+G415+G373+G331+G289+G247+G205+G163+G121+G79+G37</f>
        <v>1</v>
      </c>
      <c r="H1425" s="121">
        <f t="shared" si="398"/>
        <v>1</v>
      </c>
      <c r="I1425" s="121">
        <f t="shared" si="398"/>
        <v>1</v>
      </c>
      <c r="J1425" s="121">
        <f t="shared" si="398"/>
        <v>4</v>
      </c>
      <c r="K1425" s="121">
        <f t="shared" si="398"/>
        <v>4</v>
      </c>
      <c r="L1425" s="121">
        <f t="shared" si="398"/>
        <v>0</v>
      </c>
      <c r="M1425" s="121">
        <f t="shared" si="398"/>
        <v>1</v>
      </c>
      <c r="N1425" s="121">
        <f t="shared" si="398"/>
        <v>0</v>
      </c>
      <c r="O1425" s="122">
        <f t="shared" si="398"/>
        <v>0</v>
      </c>
      <c r="P1425" s="123">
        <f>SUM(D1425:O1425)</f>
        <v>13</v>
      </c>
      <c r="Q1425" s="124">
        <f>IF(P1425=0,"",P1425/$P1398)</f>
        <v>8.387096774193549E-2</v>
      </c>
      <c r="R1425" s="18"/>
    </row>
    <row r="1426" spans="2:18" ht="15.75" customHeight="1" x14ac:dyDescent="0.25">
      <c r="B1426" s="153"/>
      <c r="C1426" s="119" t="s">
        <v>114</v>
      </c>
      <c r="D1426" s="134">
        <f t="shared" ref="D1426:F1426" si="399">D1382+D1340+D1298+D1256+D1214+D1172+D1130+D1088+D1046+D1004+D962+D920+D878+D836+D794+D752+D710+D668+D626+D584+D542+D500+D458+D416+D374+D332+D290+D248+D206+D164+D122+D80+D38</f>
        <v>0</v>
      </c>
      <c r="E1426" s="135">
        <f t="shared" si="399"/>
        <v>0</v>
      </c>
      <c r="F1426" s="135">
        <f t="shared" si="399"/>
        <v>0</v>
      </c>
      <c r="G1426" s="121">
        <f t="shared" ref="G1426:O1426" si="400">G1382+G1340+G1298+G1256+G1214+G1172+G1130+G1088+G1046+G1004+G962+G920+G878+G836+G794+G752+G710+G668+G626+G584+G542+G500+G458+G416+G374+G332+G290+G248+G206+G164+G122+G80+G38</f>
        <v>0</v>
      </c>
      <c r="H1426" s="121">
        <f t="shared" si="400"/>
        <v>1</v>
      </c>
      <c r="I1426" s="121">
        <f t="shared" si="400"/>
        <v>0</v>
      </c>
      <c r="J1426" s="121">
        <f t="shared" si="400"/>
        <v>0</v>
      </c>
      <c r="K1426" s="121">
        <f t="shared" si="400"/>
        <v>0</v>
      </c>
      <c r="L1426" s="121">
        <f t="shared" si="400"/>
        <v>0</v>
      </c>
      <c r="M1426" s="121">
        <f t="shared" si="400"/>
        <v>0</v>
      </c>
      <c r="N1426" s="121">
        <f t="shared" si="400"/>
        <v>0</v>
      </c>
      <c r="O1426" s="122">
        <f t="shared" si="400"/>
        <v>0</v>
      </c>
      <c r="P1426" s="123">
        <f t="shared" ref="P1426:P1429" si="401">SUM(D1426:O1426)</f>
        <v>1</v>
      </c>
      <c r="Q1426" s="124">
        <f>IF(P1426=0,"",P1426/$P1398)</f>
        <v>6.4516129032258064E-3</v>
      </c>
      <c r="R1426" s="18"/>
    </row>
    <row r="1427" spans="2:18" ht="15.75" customHeight="1" x14ac:dyDescent="0.25">
      <c r="B1427" s="153"/>
      <c r="C1427" s="119" t="s">
        <v>115</v>
      </c>
      <c r="D1427" s="134">
        <f t="shared" ref="D1427:F1427" si="402">D1383+D1341+D1299+D1257+D1215+D1173+D1131+D1089+D1047+D1005+D963+D921+D879+D837+D795+D753+D711+D669+D627+D585+D543+D501+D459+D417+D375+D333+D291+D249+D207+D165+D123+D81+D39</f>
        <v>0</v>
      </c>
      <c r="E1427" s="135">
        <f t="shared" si="402"/>
        <v>0</v>
      </c>
      <c r="F1427" s="135">
        <f t="shared" si="402"/>
        <v>0</v>
      </c>
      <c r="G1427" s="121">
        <f t="shared" ref="G1427:O1427" si="403">G1383+G1341+G1299+G1257+G1215+G1173+G1131+G1089+G1047+G1005+G963+G921+G879+G837+G795+G753+G711+G669+G627+G585+G543+G501+G459+G417+G375+G333+G291+G249+G207+G165+G123+G81+G39</f>
        <v>0</v>
      </c>
      <c r="H1427" s="121">
        <f t="shared" si="403"/>
        <v>1</v>
      </c>
      <c r="I1427" s="121">
        <f t="shared" si="403"/>
        <v>1</v>
      </c>
      <c r="J1427" s="121">
        <f t="shared" si="403"/>
        <v>0</v>
      </c>
      <c r="K1427" s="121">
        <f t="shared" si="403"/>
        <v>0</v>
      </c>
      <c r="L1427" s="121">
        <f t="shared" si="403"/>
        <v>1</v>
      </c>
      <c r="M1427" s="121">
        <f t="shared" si="403"/>
        <v>0</v>
      </c>
      <c r="N1427" s="121">
        <f t="shared" si="403"/>
        <v>0</v>
      </c>
      <c r="O1427" s="122">
        <f t="shared" si="403"/>
        <v>0</v>
      </c>
      <c r="P1427" s="123">
        <f t="shared" si="401"/>
        <v>3</v>
      </c>
      <c r="Q1427" s="124">
        <f>IF(P1427=0,"",P1427/$P1398)</f>
        <v>1.935483870967742E-2</v>
      </c>
      <c r="R1427" s="18"/>
    </row>
    <row r="1428" spans="2:18" ht="15.75" customHeight="1" x14ac:dyDescent="0.25">
      <c r="B1428" s="153"/>
      <c r="C1428" s="119" t="s">
        <v>116</v>
      </c>
      <c r="D1428" s="134">
        <f t="shared" ref="D1428:F1428" si="404">D1384+D1342+D1300+D1258+D1216+D1174+D1132+D1090+D1048+D1006+D964+D922+D880+D838+D796+D754+D712+D670+D628+D586+D544+D502+D460+D418+D376+D334+D292+D250+D208+D166+D124+D82+D40</f>
        <v>0</v>
      </c>
      <c r="E1428" s="135">
        <f t="shared" si="404"/>
        <v>0</v>
      </c>
      <c r="F1428" s="135">
        <f t="shared" si="404"/>
        <v>5</v>
      </c>
      <c r="G1428" s="121">
        <f t="shared" ref="G1428:O1428" si="405">G1384+G1342+G1300+G1258+G1216+G1174+G1132+G1090+G1048+G1006+G964+G922+G880+G838+G796+G754+G712+G670+G628+G586+G544+G502+G460+G418+G376+G334+G292+G250+G208+G166+G124+G82+G40</f>
        <v>0</v>
      </c>
      <c r="H1428" s="121">
        <f t="shared" si="405"/>
        <v>0</v>
      </c>
      <c r="I1428" s="121">
        <f t="shared" si="405"/>
        <v>1</v>
      </c>
      <c r="J1428" s="121">
        <f t="shared" si="405"/>
        <v>0</v>
      </c>
      <c r="K1428" s="121">
        <f t="shared" si="405"/>
        <v>0</v>
      </c>
      <c r="L1428" s="121">
        <f t="shared" si="405"/>
        <v>0</v>
      </c>
      <c r="M1428" s="121">
        <f t="shared" si="405"/>
        <v>1</v>
      </c>
      <c r="N1428" s="121">
        <f t="shared" si="405"/>
        <v>0</v>
      </c>
      <c r="O1428" s="122">
        <f t="shared" si="405"/>
        <v>0</v>
      </c>
      <c r="P1428" s="123">
        <f t="shared" si="401"/>
        <v>7</v>
      </c>
      <c r="Q1428" s="124">
        <f>IF(P1428=0,"",P1428/$P1398)</f>
        <v>4.5161290322580643E-2</v>
      </c>
      <c r="R1428" s="18"/>
    </row>
    <row r="1429" spans="2:18" ht="15.75" customHeight="1" thickBot="1" x14ac:dyDescent="0.3">
      <c r="B1429" s="154"/>
      <c r="C1429" s="136" t="s">
        <v>117</v>
      </c>
      <c r="D1429" s="137">
        <f t="shared" ref="D1429:F1429" si="406">D1385+D1343+D1301+D1259+D1217+D1175+D1133+D1091+D1049+D1007+D965+D923+D881+D839+D797+D755+D713+D671+D629+D587+D545+D503+D461+D419+D377+D335+D293+D251+D209+D167+D125+D83+D41</f>
        <v>0</v>
      </c>
      <c r="E1429" s="138">
        <f t="shared" si="406"/>
        <v>1</v>
      </c>
      <c r="F1429" s="138">
        <f t="shared" si="406"/>
        <v>0</v>
      </c>
      <c r="G1429" s="139">
        <f t="shared" ref="G1429:O1429" si="407">G1385+G1343+G1301+G1259+G1217+G1175+G1133+G1091+G1049+G1007+G965+G923+G881+G839+G797+G755+G713+G671+G629+G587+G545+G503+G461+G419+G377+G335+G293+G251+G209+G167+G125+G83+G41</f>
        <v>0</v>
      </c>
      <c r="H1429" s="139">
        <f t="shared" si="407"/>
        <v>0</v>
      </c>
      <c r="I1429" s="139">
        <f t="shared" si="407"/>
        <v>0</v>
      </c>
      <c r="J1429" s="139">
        <f t="shared" si="407"/>
        <v>0</v>
      </c>
      <c r="K1429" s="139">
        <f t="shared" si="407"/>
        <v>0</v>
      </c>
      <c r="L1429" s="139">
        <f t="shared" si="407"/>
        <v>0</v>
      </c>
      <c r="M1429" s="139">
        <f t="shared" si="407"/>
        <v>0</v>
      </c>
      <c r="N1429" s="139">
        <f t="shared" si="407"/>
        <v>0</v>
      </c>
      <c r="O1429" s="140">
        <f t="shared" si="407"/>
        <v>0</v>
      </c>
      <c r="P1429" s="141">
        <f t="shared" si="401"/>
        <v>1</v>
      </c>
      <c r="Q1429" s="142">
        <f>IF(P1429=0,"",P1429/$P1398)</f>
        <v>6.4516129032258064E-3</v>
      </c>
      <c r="R1429" s="18"/>
    </row>
    <row r="1430" spans="2:18" ht="15.75" customHeight="1" x14ac:dyDescent="0.2">
      <c r="D1430" s="89"/>
      <c r="R1430" s="18"/>
    </row>
  </sheetData>
  <customSheetViews>
    <customSheetView guid="{8BD24DD2-71C2-4877-804B-92D7756C8286}" scale="90" showPageBreaks="1" printArea="1" showRuler="0">
      <pane xSplit="1" topLeftCell="B1" activePane="topRight" state="frozenSplit"/>
      <selection pane="topRight" activeCell="O24" sqref="O24"/>
      <rowBreaks count="38" manualBreakCount="38">
        <brk id="17" max="16383" man="1"/>
        <brk id="35" max="16383" man="1"/>
        <brk id="52" max="16383" man="1"/>
        <brk id="69" max="16383" man="1"/>
        <brk id="86" max="16383" man="1"/>
        <brk id="117" max="16383" man="1"/>
        <brk id="147" max="16383" man="1"/>
        <brk id="165" max="16383" man="1"/>
        <brk id="183" max="16383" man="1"/>
        <brk id="201" max="16383" man="1"/>
        <brk id="219" max="16383" man="1"/>
        <brk id="251" max="16383" man="1"/>
        <brk id="283" max="16383" man="1"/>
        <brk id="301" max="16383" man="1"/>
        <brk id="319" max="16383" man="1"/>
        <brk id="337" max="16383" man="1"/>
        <brk id="355" max="16383" man="1"/>
        <brk id="373" max="16383" man="1"/>
        <brk id="405" max="16383" man="1"/>
        <brk id="437" max="16383" man="1"/>
        <brk id="455" max="16383" man="1"/>
        <brk id="487" max="16383" man="1"/>
        <brk id="505" max="16383" man="1"/>
        <brk id="523" max="16383" man="1"/>
        <brk id="541" max="16383" man="1"/>
        <brk id="559" max="16383" man="1"/>
        <brk id="577" max="16383" man="1"/>
        <brk id="609" max="16383" man="1"/>
        <brk id="627" max="16383" man="1"/>
        <brk id="659" max="16383" man="1"/>
        <brk id="677" max="16383" man="1"/>
        <brk id="709" max="16383" man="1"/>
        <brk id="729" max="16383" man="1"/>
        <brk id="752" max="65535" man="1"/>
        <brk id="782" max="65535" man="1"/>
        <brk id="812" max="65535" man="1"/>
        <brk id="842" max="65535" man="1"/>
        <brk id="872" max="65535" man="1"/>
      </rowBreaks>
      <pageMargins left="0.39370078740157483" right="0.39370078740157483" top="0.98425196850393704" bottom="0.39370078740157483" header="0.39370078740157483" footer="3.937007874015748E-2"/>
      <printOptions horizontalCentered="1" gridLines="1"/>
      <pageSetup paperSize="9" scale="85" fitToHeight="15" orientation="landscape" blackAndWhite="1" horizontalDpi="4294967292" verticalDpi="300" r:id="rId1"/>
      <headerFooter alignWithMargins="0">
        <oddHeader>&amp;L&amp;"Times New Roman,Bold"&amp;12TAXICARD&amp;C&amp;"Times New Roman,Bold"&amp;12COMPLAINTS STATISTICS 
APRIL 2004- MARCH 2005</oddHeader>
        <oddFooter>&amp;R&amp;"Times New Roman,Italic"&amp;6&amp;F &amp;P &amp;D</oddFooter>
      </headerFooter>
    </customSheetView>
    <customSheetView guid="{F6C7DB61-DA65-4B92-B84A-F7F617F7AFA3}" scale="90" showRuler="0" topLeftCell="A679">
      <pane xSplit="1" topLeftCell="B1" activePane="topRight" state="frozenSplit"/>
      <selection pane="topRight" activeCell="K719" sqref="K719"/>
      <rowBreaks count="38" manualBreakCount="38">
        <brk id="17" max="16383" man="1"/>
        <brk id="35" max="16383" man="1"/>
        <brk id="52" max="16383" man="1"/>
        <brk id="69" max="16383" man="1"/>
        <brk id="86" max="16383" man="1"/>
        <brk id="117" max="16383" man="1"/>
        <brk id="147" max="16383" man="1"/>
        <brk id="165" max="16383" man="1"/>
        <brk id="183" max="16383" man="1"/>
        <brk id="201" max="16383" man="1"/>
        <brk id="219" max="16383" man="1"/>
        <brk id="251" max="16383" man="1"/>
        <brk id="283" max="16383" man="1"/>
        <brk id="301" max="16383" man="1"/>
        <brk id="319" max="16383" man="1"/>
        <brk id="337" max="16383" man="1"/>
        <brk id="355" max="16383" man="1"/>
        <brk id="373" max="16383" man="1"/>
        <brk id="405" max="16383" man="1"/>
        <brk id="437" max="16383" man="1"/>
        <brk id="455" max="16383" man="1"/>
        <brk id="487" max="16383" man="1"/>
        <brk id="505" max="16383" man="1"/>
        <brk id="523" max="16383" man="1"/>
        <brk id="541" max="16383" man="1"/>
        <brk id="559" max="16383" man="1"/>
        <brk id="577" max="16383" man="1"/>
        <brk id="609" max="16383" man="1"/>
        <brk id="627" max="16383" man="1"/>
        <brk id="659" max="16383" man="1"/>
        <brk id="677" max="16383" man="1"/>
        <brk id="709" max="16383" man="1"/>
        <brk id="729" max="16383" man="1"/>
        <brk id="752" max="65535" man="1"/>
        <brk id="782" max="65535" man="1"/>
        <brk id="812" max="65535" man="1"/>
        <brk id="842" max="65535" man="1"/>
        <brk id="872" max="65535" man="1"/>
      </rowBreaks>
      <pageMargins left="0.39370078740157483" right="0.39370078740157483" top="0.98425196850393704" bottom="0.39370078740157483" header="0.39370078740157483" footer="3.937007874015748E-2"/>
      <printOptions horizontalCentered="1" gridLines="1"/>
      <pageSetup paperSize="9" scale="85" fitToHeight="15" orientation="landscape" blackAndWhite="1" horizontalDpi="4294967292" verticalDpi="300" r:id="rId2"/>
      <headerFooter alignWithMargins="0">
        <oddHeader>&amp;L&amp;"Times New Roman,Bold"&amp;12TAXICARD&amp;C&amp;"Times New Roman,Bold"&amp;12COMPLAINTS STATISTICS 
APRIL 2004- MARCH 2005</oddHeader>
        <oddFooter>&amp;R&amp;"Times New Roman,Italic"&amp;6&amp;F &amp;P &amp;D</oddFooter>
      </headerFooter>
    </customSheetView>
    <customSheetView guid="{C6861A0E-2265-4470-98A5-8B12149A9AFA}" scale="90" showPageBreaks="1" printArea="1" showRuler="0">
      <pane xSplit="1" topLeftCell="B1" activePane="topRight" state="frozenSplit"/>
      <selection pane="topRight" activeCell="L25" sqref="L25"/>
      <rowBreaks count="38" manualBreakCount="38">
        <brk id="17" max="16383" man="1"/>
        <brk id="35" max="16383" man="1"/>
        <brk id="52" max="16383" man="1"/>
        <brk id="69" max="16383" man="1"/>
        <brk id="86" max="16383" man="1"/>
        <brk id="117" max="16383" man="1"/>
        <brk id="147" max="16383" man="1"/>
        <brk id="165" max="16383" man="1"/>
        <brk id="183" max="16383" man="1"/>
        <brk id="201" max="16383" man="1"/>
        <brk id="219" max="16383" man="1"/>
        <brk id="251" max="16383" man="1"/>
        <brk id="283" max="16383" man="1"/>
        <brk id="301" max="16383" man="1"/>
        <brk id="319" max="16383" man="1"/>
        <brk id="337" max="16383" man="1"/>
        <brk id="355" max="16383" man="1"/>
        <brk id="373" max="16383" man="1"/>
        <brk id="405" max="16383" man="1"/>
        <brk id="437" max="16383" man="1"/>
        <brk id="455" max="16383" man="1"/>
        <brk id="487" max="16383" man="1"/>
        <brk id="505" max="16383" man="1"/>
        <brk id="523" max="16383" man="1"/>
        <brk id="541" max="16383" man="1"/>
        <brk id="559" max="16383" man="1"/>
        <brk id="577" max="16383" man="1"/>
        <brk id="609" max="16383" man="1"/>
        <brk id="627" max="16383" man="1"/>
        <brk id="659" max="16383" man="1"/>
        <brk id="677" max="16383" man="1"/>
        <brk id="709" max="16383" man="1"/>
        <brk id="729" max="16383" man="1"/>
        <brk id="752" max="65535" man="1"/>
        <brk id="782" max="65535" man="1"/>
        <brk id="812" max="65535" man="1"/>
        <brk id="842" max="65535" man="1"/>
        <brk id="872" max="65535" man="1"/>
      </rowBreaks>
      <pageMargins left="0.39370078740157483" right="0.39370078740157483" top="0.98425196850393704" bottom="0.39370078740157483" header="0.39370078740157483" footer="3.937007874015748E-2"/>
      <printOptions horizontalCentered="1" gridLines="1"/>
      <pageSetup paperSize="9" scale="85" fitToHeight="15" orientation="landscape" blackAndWhite="1" horizontalDpi="4294967292" verticalDpi="300" r:id="rId3"/>
      <headerFooter alignWithMargins="0">
        <oddHeader>&amp;L&amp;"Times New Roman,Bold"&amp;12TAXICARD&amp;C&amp;"Times New Roman,Bold"&amp;12COMPLAINTS STATISTICS 
APRIL 2004- MARCH 2005</oddHeader>
        <oddFooter>&amp;R&amp;"Times New Roman,Italic"&amp;6&amp;F &amp;P &amp;D</oddFooter>
      </headerFooter>
    </customSheetView>
    <customSheetView guid="{9816F32E-D80F-41D4-8A58-E0F6E97FF330}" scale="90" showPageBreaks="1" printArea="1" showRuler="0" topLeftCell="A515">
      <pane xSplit="1" topLeftCell="B1" activePane="topRight" state="frozenSplit"/>
      <selection pane="topRight" activeCell="E528" sqref="E528"/>
      <rowBreaks count="38" manualBreakCount="38">
        <brk id="17" max="16383" man="1"/>
        <brk id="35" max="16383" man="1"/>
        <brk id="52" max="16383" man="1"/>
        <brk id="69" max="16383" man="1"/>
        <brk id="86" max="16383" man="1"/>
        <brk id="117" max="16383" man="1"/>
        <brk id="147" max="16383" man="1"/>
        <brk id="165" max="16383" man="1"/>
        <brk id="183" max="16383" man="1"/>
        <brk id="201" max="16383" man="1"/>
        <brk id="219" max="16383" man="1"/>
        <brk id="251" max="16383" man="1"/>
        <brk id="283" max="16383" man="1"/>
        <brk id="301" max="16383" man="1"/>
        <brk id="319" max="16383" man="1"/>
        <brk id="337" max="16383" man="1"/>
        <brk id="355" max="16383" man="1"/>
        <brk id="373" max="16383" man="1"/>
        <brk id="405" max="16383" man="1"/>
        <brk id="437" max="16383" man="1"/>
        <brk id="455" max="16383" man="1"/>
        <brk id="487" max="16383" man="1"/>
        <brk id="505" max="16383" man="1"/>
        <brk id="523" max="16383" man="1"/>
        <brk id="541" max="16383" man="1"/>
        <brk id="559" max="16383" man="1"/>
        <brk id="577" max="16383" man="1"/>
        <brk id="609" max="16383" man="1"/>
        <brk id="627" max="16383" man="1"/>
        <brk id="659" max="16383" man="1"/>
        <brk id="677" max="16383" man="1"/>
        <brk id="709" max="16383" man="1"/>
        <brk id="729" max="16383" man="1"/>
        <brk id="752" max="65535" man="1"/>
        <brk id="782" max="65535" man="1"/>
        <brk id="812" max="65535" man="1"/>
        <brk id="842" max="65535" man="1"/>
        <brk id="872" max="65535" man="1"/>
      </rowBreaks>
      <pageMargins left="0.39370078740157483" right="0.39370078740157483" top="0.98425196850393704" bottom="0.39370078740157483" header="0.39370078740157483" footer="3.937007874015748E-2"/>
      <printOptions horizontalCentered="1" gridLines="1"/>
      <pageSetup paperSize="9" scale="85" fitToHeight="15" orientation="landscape" blackAndWhite="1" horizontalDpi="4294967292" verticalDpi="300" r:id="rId4"/>
      <headerFooter alignWithMargins="0">
        <oddHeader>&amp;L&amp;"Times New Roman,Bold"&amp;12TAXICARD&amp;C&amp;"Times New Roman,Bold"&amp;12COMPLAINTS STATISTICS 
APRIL 2003 - MARCH 2004</oddHeader>
        <oddFooter>&amp;R&amp;"Times New Roman,Italic"&amp;6&amp;F &amp;P &amp;D</oddFooter>
      </headerFooter>
    </customSheetView>
    <customSheetView guid="{D0D00813-2644-11D4-B451-006008453C39}" scale="90" showPageBreaks="1" showRuler="0">
      <selection activeCell="B6" sqref="B6"/>
      <rowBreaks count="40" manualBreakCount="40">
        <brk id="18" max="16383" man="1"/>
        <brk id="35" max="16383" man="1"/>
        <brk id="53" max="16383" man="1"/>
        <brk id="70" max="16383" man="1"/>
        <brk id="87" max="16383" man="1"/>
        <brk id="119" max="16383" man="1"/>
        <brk id="148" max="16383" man="1"/>
        <brk id="166" max="16383" man="1"/>
        <brk id="184" max="16383" man="1"/>
        <brk id="202" max="16383" man="1"/>
        <brk id="220" max="16383" man="1"/>
        <brk id="252" max="16383" man="1"/>
        <brk id="285" max="16383" man="1"/>
        <brk id="303" max="16383" man="1"/>
        <brk id="321" max="16383" man="1"/>
        <brk id="339" max="16383" man="1"/>
        <brk id="357" max="16383" man="1"/>
        <brk id="375" max="16383" man="1"/>
        <brk id="389" max="16383" man="1"/>
        <brk id="407" max="16383" man="1"/>
        <brk id="421" max="16383" man="1"/>
        <brk id="439" max="16383" man="1"/>
        <brk id="457" max="16383" man="1"/>
        <brk id="489" max="16383" man="1"/>
        <brk id="508" max="16383" man="1"/>
        <brk id="527" max="16383" man="1"/>
        <brk id="546" max="16383" man="1"/>
        <brk id="564" max="16383" man="1"/>
        <brk id="582" max="16383" man="1"/>
        <brk id="614" max="16383" man="1"/>
        <brk id="617" max="16383" man="1"/>
        <brk id="634" max="16383" man="1"/>
        <brk id="667" max="16383" man="1"/>
        <brk id="686" max="16383" man="1"/>
        <brk id="719" max="16383" man="1"/>
        <brk id="752" max="65535" man="1"/>
        <brk id="782" max="65535" man="1"/>
        <brk id="812" max="65535" man="1"/>
        <brk id="842" max="65535" man="1"/>
        <brk id="872" max="65535" man="1"/>
      </rowBreaks>
      <pageMargins left="0.39370078740157483" right="0.39370078740157483" top="0.98425196850393704" bottom="0.39370078740157483" header="0.39370078740157483" footer="3.937007874015748E-2"/>
      <printOptions horizontalCentered="1" gridLines="1"/>
      <pageSetup paperSize="9" scale="85" fitToHeight="15" orientation="landscape" blackAndWhite="1" horizontalDpi="4294967292" verticalDpi="300" r:id="rId5"/>
      <headerFooter alignWithMargins="0">
        <oddHeader>&amp;L&amp;"Times New Roman,Bold"&amp;12TAXICARD&amp;C&amp;"Times New Roman,Bold"&amp;12COMPLAINTS STATISTICS 
APRIL 2002 - MARCH 2003</oddHeader>
        <oddFooter>&amp;R&amp;"Times New Roman,Italic"&amp;6&amp;F &amp;P &amp;D</oddFooter>
      </headerFooter>
    </customSheetView>
    <customSheetView guid="{7931A6C7-0C37-4E86-9551-0B8D9FE2E81B}" scale="90" showRuler="0" topLeftCell="A92">
      <selection activeCell="B82" sqref="B82"/>
      <rowBreaks count="38" manualBreakCount="38">
        <brk id="18" max="16383" man="1"/>
        <brk id="35" max="16383" man="1"/>
        <brk id="52" max="16383" man="1"/>
        <brk id="69" max="16383" man="1"/>
        <brk id="100" max="16383" man="1"/>
        <brk id="130" max="16383" man="1"/>
        <brk id="148" max="16383" man="1"/>
        <brk id="166" max="16383" man="1"/>
        <brk id="184" max="16383" man="1"/>
        <brk id="216" max="16383" man="1"/>
        <brk id="248" max="16383" man="1"/>
        <brk id="267" max="16383" man="1"/>
        <brk id="285" max="16383" man="1"/>
        <brk id="303" max="16383" man="1"/>
        <brk id="321" max="16383" man="1"/>
        <brk id="339" max="16383" man="1"/>
        <brk id="371" max="16383" man="1"/>
        <brk id="403" max="16383" man="1"/>
        <brk id="421" max="16383" man="1"/>
        <brk id="452" max="65535" man="1"/>
        <brk id="453" max="16383" man="1"/>
        <brk id="471" max="16383" man="1"/>
        <brk id="491" max="16383" man="1"/>
        <brk id="510" max="16383" man="1"/>
        <brk id="529" max="16383" man="1"/>
        <brk id="546" max="16383" man="1"/>
        <brk id="581" max="16383" man="1"/>
        <brk id="598" max="16383" man="1"/>
        <brk id="632" max="65535" man="1"/>
        <brk id="633" max="16383" man="1"/>
        <brk id="650" max="16383" man="1"/>
        <brk id="683" max="16383" man="1"/>
        <brk id="722" max="65535" man="1"/>
        <brk id="752" max="65535" man="1"/>
        <brk id="782" max="65535" man="1"/>
        <brk id="812" max="65535" man="1"/>
        <brk id="842" max="65535" man="1"/>
        <brk id="872" max="65535" man="1"/>
      </rowBreaks>
      <pageMargins left="0.39370078740157483" right="0.39370078740157483" top="0.98425196850393704" bottom="0.39370078740157483" header="0.39370078740157483" footer="3.937007874015748E-2"/>
      <printOptions horizontalCentered="1" gridLines="1"/>
      <pageSetup paperSize="9" scale="85" fitToHeight="15" orientation="landscape" blackAndWhite="1" horizontalDpi="4294967292" verticalDpi="300" r:id="rId6"/>
      <headerFooter alignWithMargins="0">
        <oddHeader>&amp;L&amp;"Times New Roman,Bold"&amp;12TAXICARD&amp;C&amp;"Times New Roman,Bold"&amp;12COMPLAINTS STATISTICS 
APRIL 2002 - MARCH 2003</oddHeader>
        <oddFooter>&amp;R&amp;"Times New Roman,Italic"&amp;6&amp;F &amp;P &amp;D</oddFooter>
      </headerFooter>
    </customSheetView>
    <customSheetView guid="{A0A1B6E4-1DF6-11D4-8D6C-EB17C7E9EF32}" showPageBreaks="1" printArea="1" hiddenColumns="1" showRuler="0">
      <selection activeCell="Q890" sqref="Q890"/>
      <rowBreaks count="29" manualBreakCount="29">
        <brk id="32" max="65535" man="1"/>
        <brk id="62" max="65535" man="1"/>
        <brk id="92" max="65535" man="1"/>
        <brk id="122" max="65535" man="1"/>
        <brk id="152" max="65535" man="1"/>
        <brk id="182" max="65535" man="1"/>
        <brk id="212" max="65535" man="1"/>
        <brk id="242" max="65535" man="1"/>
        <brk id="272" max="65535" man="1"/>
        <brk id="302" max="65535" man="1"/>
        <brk id="332" max="65535" man="1"/>
        <brk id="362" max="65535" man="1"/>
        <brk id="392" max="65535" man="1"/>
        <brk id="422" max="65535" man="1"/>
        <brk id="452" max="65535" man="1"/>
        <brk id="482" max="65535" man="1"/>
        <brk id="512" max="65535" man="1"/>
        <brk id="542" max="65535" man="1"/>
        <brk id="572" max="65535" man="1"/>
        <brk id="602" max="65535" man="1"/>
        <brk id="632" max="65535" man="1"/>
        <brk id="662" max="65535" man="1"/>
        <brk id="692" max="65535" man="1"/>
        <brk id="722" max="65535" man="1"/>
        <brk id="752" max="65535" man="1"/>
        <brk id="782" max="65535" man="1"/>
        <brk id="812" max="65535" man="1"/>
        <brk id="842" max="65535" man="1"/>
        <brk id="872" max="65535" man="1"/>
      </rowBreaks>
      <pageMargins left="0.39370078740157483" right="0.39370078740157483" top="0.98425196850393704" bottom="0.39370078740157483" header="0.39370078740157483" footer="3.937007874015748E-2"/>
      <printOptions horizontalCentered="1" gridLines="1"/>
      <pageSetup paperSize="9" scale="85" fitToHeight="15" orientation="landscape" blackAndWhite="1" horizontalDpi="4294967292" verticalDpi="300" r:id="rId7"/>
      <headerFooter alignWithMargins="0">
        <oddHeader>&amp;L&amp;"Times New Roman,Bold"&amp;12TAXICARD&amp;C&amp;"Times New Roman,Bold"&amp;12COMPLAINTS AND PERFORMANCE STATISTICS
APRIL 99 - MARCH 2000</oddHeader>
        <oddFooter>&amp;R&amp;"Times New Roman,Italic"&amp;6&amp;F &amp;P &amp;D</oddFooter>
      </headerFooter>
    </customSheetView>
    <customSheetView guid="{E1A82BD3-8422-11D6-9150-006008453A36}" scale="90" showPageBreaks="1" printArea="1" showRuler="0" topLeftCell="A396">
      <selection activeCell="E503" sqref="E503"/>
      <rowBreaks count="38" manualBreakCount="38">
        <brk id="18" max="16383" man="1"/>
        <brk id="35" max="16383" man="1"/>
        <brk id="52" max="16383" man="1"/>
        <brk id="69" max="16383" man="1"/>
        <brk id="100" max="16383" man="1"/>
        <brk id="130" max="16383" man="1"/>
        <brk id="148" max="16383" man="1"/>
        <brk id="166" max="16383" man="1"/>
        <brk id="202" max="16383" man="1"/>
        <brk id="234" max="16383" man="1"/>
        <brk id="266" max="16383" man="1"/>
        <brk id="285" max="16383" man="1"/>
        <brk id="303" max="16383" man="1"/>
        <brk id="321" max="16383" man="1"/>
        <brk id="339" max="16383" man="1"/>
        <brk id="357" max="16383" man="1"/>
        <brk id="389" max="16383" man="1"/>
        <brk id="421" max="16383" man="1"/>
        <brk id="439" max="16383" man="1"/>
        <brk id="452" max="65535" man="1"/>
        <brk id="471" max="16383" man="1"/>
        <brk id="489" max="16383" man="1"/>
        <brk id="509" max="16383" man="1"/>
        <brk id="528" max="16383" man="1"/>
        <brk id="547" max="16383" man="1"/>
        <brk id="564" max="16383" man="1"/>
        <brk id="599" max="16383" man="1"/>
        <brk id="616" max="16383" man="1"/>
        <brk id="632" max="65535" man="1"/>
        <brk id="651" max="16383" man="1"/>
        <brk id="668" max="16383" man="1"/>
        <brk id="701" max="16383" man="1"/>
        <brk id="722" max="65535" man="1"/>
        <brk id="752" max="65535" man="1"/>
        <brk id="782" max="65535" man="1"/>
        <brk id="812" max="65535" man="1"/>
        <brk id="842" max="65535" man="1"/>
        <brk id="872" max="65535" man="1"/>
      </rowBreaks>
      <pageMargins left="0.39370078740157483" right="0.39370078740157483" top="0.98425196850393704" bottom="0.39370078740157483" header="0.39370078740157483" footer="3.937007874015748E-2"/>
      <printOptions horizontalCentered="1" gridLines="1"/>
      <pageSetup paperSize="9" scale="85" fitToHeight="15" orientation="landscape" blackAndWhite="1" horizontalDpi="4294967292" verticalDpi="300" r:id="rId8"/>
      <headerFooter alignWithMargins="0">
        <oddHeader>&amp;L&amp;"Times New Roman,Bold"&amp;12TAXICARD&amp;C&amp;"Times New Roman,Bold"&amp;12COMPLAINTS STATISTICS 
APRIL 2002 - MARCH 2003</oddHeader>
        <oddFooter>&amp;R&amp;"Times New Roman,Italic"&amp;6&amp;F &amp;P &amp;D</oddFooter>
      </headerFooter>
    </customSheetView>
    <customSheetView guid="{8F0D6493-DB9F-4278-BADC-D4F224592E59}" scale="90" showRuler="0">
      <rowBreaks count="40" manualBreakCount="40">
        <brk id="18" max="16383" man="1"/>
        <brk id="35" max="16383" man="1"/>
        <brk id="53" max="16383" man="1"/>
        <brk id="70" max="16383" man="1"/>
        <brk id="87" max="16383" man="1"/>
        <brk id="119" max="16383" man="1"/>
        <brk id="148" max="16383" man="1"/>
        <brk id="166" max="16383" man="1"/>
        <brk id="184" max="16383" man="1"/>
        <brk id="202" max="16383" man="1"/>
        <brk id="220" max="16383" man="1"/>
        <brk id="252" max="16383" man="1"/>
        <brk id="285" max="16383" man="1"/>
        <brk id="303" max="16383" man="1"/>
        <brk id="321" max="16383" man="1"/>
        <brk id="339" max="16383" man="1"/>
        <brk id="357" max="16383" man="1"/>
        <brk id="375" max="16383" man="1"/>
        <brk id="389" max="16383" man="1"/>
        <brk id="407" max="16383" man="1"/>
        <brk id="421" max="16383" man="1"/>
        <brk id="439" max="16383" man="1"/>
        <brk id="457" max="16383" man="1"/>
        <brk id="489" max="16383" man="1"/>
        <brk id="508" max="16383" man="1"/>
        <brk id="527" max="16383" man="1"/>
        <brk id="546" max="16383" man="1"/>
        <brk id="564" max="16383" man="1"/>
        <brk id="582" max="16383" man="1"/>
        <brk id="614" max="16383" man="1"/>
        <brk id="617" max="16383" man="1"/>
        <brk id="634" max="16383" man="1"/>
        <brk id="667" max="16383" man="1"/>
        <brk id="686" max="16383" man="1"/>
        <brk id="719" max="16383" man="1"/>
        <brk id="752" max="65535" man="1"/>
        <brk id="782" max="65535" man="1"/>
        <brk id="812" max="65535" man="1"/>
        <brk id="842" max="65535" man="1"/>
        <brk id="872" max="65535" man="1"/>
      </rowBreaks>
      <pageMargins left="0.39370078740157483" right="0.39370078740157483" top="0.98425196850393704" bottom="0.39370078740157483" header="0.39370078740157483" footer="3.937007874015748E-2"/>
      <printOptions horizontalCentered="1" gridLines="1"/>
      <pageSetup paperSize="9" scale="85" fitToHeight="15" orientation="landscape" blackAndWhite="1" horizontalDpi="4294967292" verticalDpi="300" r:id="rId9"/>
      <headerFooter alignWithMargins="0">
        <oddHeader>&amp;L&amp;"Times New Roman,Bold"&amp;12TAXICARD&amp;C&amp;"Times New Roman,Bold"&amp;12COMPLAINTS STATISTICS 
APRIL 2002 - MARCH 2003</oddHeader>
        <oddFooter>&amp;R&amp;"Times New Roman,Italic"&amp;6&amp;F &amp;P &amp;D</oddFooter>
      </headerFooter>
    </customSheetView>
    <customSheetView guid="{9DB70752-1F33-48AF-ADCF-28688D9C33B6}" scale="90" showPageBreaks="1" printArea="1" showRuler="0" topLeftCell="A710">
      <selection activeCell="L740" sqref="L740"/>
      <rowBreaks count="38" manualBreakCount="38">
        <brk id="17" max="16383" man="1"/>
        <brk id="35" max="16383" man="1"/>
        <brk id="52" max="16383" man="1"/>
        <brk id="69" max="16383" man="1"/>
        <brk id="86" max="16383" man="1"/>
        <brk id="117" max="16383" man="1"/>
        <brk id="147" max="16383" man="1"/>
        <brk id="165" max="16383" man="1"/>
        <brk id="183" max="16383" man="1"/>
        <brk id="201" max="16383" man="1"/>
        <brk id="219" max="16383" man="1"/>
        <brk id="251" max="16383" man="1"/>
        <brk id="283" max="16383" man="1"/>
        <brk id="301" max="16383" man="1"/>
        <brk id="319" max="16383" man="1"/>
        <brk id="337" max="16383" man="1"/>
        <brk id="355" max="16383" man="1"/>
        <brk id="373" max="16383" man="1"/>
        <brk id="405" max="16383" man="1"/>
        <brk id="437" max="16383" man="1"/>
        <brk id="455" max="16383" man="1"/>
        <brk id="487" max="16383" man="1"/>
        <brk id="505" max="16383" man="1"/>
        <brk id="523" max="16383" man="1"/>
        <brk id="541" max="16383" man="1"/>
        <brk id="559" max="16383" man="1"/>
        <brk id="577" max="16383" man="1"/>
        <brk id="609" max="16383" man="1"/>
        <brk id="627" max="16383" man="1"/>
        <brk id="659" max="16383" man="1"/>
        <brk id="677" max="16383" man="1"/>
        <brk id="709" max="16383" man="1"/>
        <brk id="729" max="16383" man="1"/>
        <brk id="752" max="65535" man="1"/>
        <brk id="782" max="65535" man="1"/>
        <brk id="812" max="65535" man="1"/>
        <brk id="842" max="65535" man="1"/>
        <brk id="872" max="65535" man="1"/>
      </rowBreaks>
      <pageMargins left="0.39370078740157483" right="0.39370078740157483" top="0.98425196850393704" bottom="0.39370078740157483" header="0.39370078740157483" footer="3.937007874015748E-2"/>
      <printOptions horizontalCentered="1" gridLines="1"/>
      <pageSetup paperSize="9" scale="85" fitToHeight="15" orientation="landscape" blackAndWhite="1" horizontalDpi="4294967292" verticalDpi="300" r:id="rId10"/>
      <headerFooter alignWithMargins="0">
        <oddHeader>&amp;L&amp;"Times New Roman,Bold"&amp;12TAXICARD&amp;C&amp;"Times New Roman,Bold"&amp;12COMPLAINTS STATISTICS 
APRIL 2003 - MARCH 2004</oddHeader>
        <oddFooter>&amp;R&amp;"Times New Roman,Italic"&amp;6&amp;F &amp;P &amp;D</oddFooter>
      </headerFooter>
    </customSheetView>
    <customSheetView guid="{1BBDAD61-F2C9-11D4-89AE-006008453A41}" scale="90" showPageBreaks="1" showRuler="0" topLeftCell="A517">
      <selection activeCell="D540" sqref="D540"/>
      <rowBreaks count="89" manualBreakCount="89">
        <brk id="16" max="16383" man="1"/>
        <brk id="34" max="16383" man="1"/>
        <brk id="36" max="16383" man="1"/>
        <brk id="52" max="16383" man="1"/>
        <brk id="62" max="65535" man="1"/>
        <brk id="69" max="16383" man="1"/>
        <brk id="86" max="16383" man="1"/>
        <brk id="92" max="65535" man="1"/>
        <brk id="117" max="16383" man="1"/>
        <brk id="122" max="65535" man="1"/>
        <brk id="147" max="16383" man="1"/>
        <brk id="152" max="65535" man="1"/>
        <brk id="164" max="16383" man="1"/>
        <brk id="182" max="65535" man="1"/>
        <brk id="200" max="16383" man="1"/>
        <brk id="212" max="65535" man="1"/>
        <brk id="218" max="16383" man="1"/>
        <brk id="242" max="65535" man="1"/>
        <brk id="250" max="16383" man="1"/>
        <brk id="272" max="65535" man="1"/>
        <brk id="282" max="16383" man="1"/>
        <brk id="302" max="65535" man="1"/>
        <brk id="318" max="16383" man="1"/>
        <brk id="332" max="65535" man="1"/>
        <brk id="336" max="16383" man="1"/>
        <brk id="354" max="16383" man="1"/>
        <brk id="362" max="65535" man="1"/>
        <brk id="372" max="16383" man="1"/>
        <brk id="392" max="65535" man="1"/>
        <brk id="404" max="16383" man="1"/>
        <brk id="422" max="65535" man="1"/>
        <brk id="436" max="16383" man="1"/>
        <brk id="452" max="65535" man="1"/>
        <brk id="454" max="16383" man="1"/>
        <brk id="482" max="65535" man="1"/>
        <brk id="486" max="16383" man="1"/>
        <brk id="504" max="16383" man="1"/>
        <brk id="512" max="65535" man="1"/>
        <brk id="522" max="16383" man="1"/>
        <brk id="542" max="65535" man="1"/>
        <brk id="558" max="16383" man="1"/>
        <brk id="572" max="65535" man="1"/>
        <brk id="576" max="16383" man="1"/>
        <brk id="602" max="65535" man="1"/>
        <brk id="608" max="16383" man="1"/>
        <brk id="626" max="16383" man="1"/>
        <brk id="632" max="65535" man="1"/>
        <brk id="658" max="16383" man="1"/>
        <brk id="662" max="65535" man="1"/>
        <brk id="676" max="16383" man="1"/>
        <brk id="692" max="65535" man="1"/>
        <brk id="708" max="16383" man="1"/>
        <brk id="722" max="65535" man="1"/>
        <brk id="752" max="65535" man="1"/>
        <brk id="782" max="65535" man="1"/>
        <brk id="812" max="65535" man="1"/>
        <brk id="842" max="65535" man="1"/>
        <brk id="872" max="65535" man="1"/>
        <brk id="908" max="16383" man="1"/>
        <brk id="944" max="16383" man="1"/>
        <brk id="980" max="16383" man="1"/>
        <brk id="1016" max="16383" man="1"/>
        <brk id="1052" max="16383" man="1"/>
        <brk id="1088" max="16383" man="1"/>
        <brk id="1124" max="16383" man="1"/>
        <brk id="1160" max="16383" man="1"/>
        <brk id="1196" max="16383" man="1"/>
        <brk id="1232" max="16383" man="1"/>
        <brk id="1268" max="16383" man="1"/>
        <brk id="1304" max="16383" man="1"/>
        <brk id="1340" max="16383" man="1"/>
        <brk id="1376" max="16383" man="1"/>
        <brk id="1412" max="16383" man="1"/>
        <brk id="1448" max="16383" man="1"/>
        <brk id="1484" max="16383" man="1"/>
        <brk id="1520" max="16383" man="1"/>
        <brk id="1556" max="16383" man="1"/>
        <brk id="1592" max="16383" man="1"/>
        <brk id="1628" max="16383" man="1"/>
        <brk id="1664" max="16383" man="1"/>
        <brk id="1700" max="16383" man="1"/>
        <brk id="1736" max="16383" man="1"/>
        <brk id="1772" max="16383" man="1"/>
        <brk id="1808" max="16383" man="1"/>
        <brk id="1844" max="16383" man="1"/>
        <brk id="1880" max="16383" man="1"/>
        <brk id="1916" max="16383" man="1"/>
        <brk id="1952" max="16383" man="1"/>
        <brk id="1988" max="16383" man="1"/>
      </rowBreaks>
      <pageMargins left="0.39370078740157483" right="0.39370078740157483" top="0.98425196850393704" bottom="0.39370078740157483" header="0.39370078740157483" footer="3.937007874015748E-2"/>
      <printOptions horizontalCentered="1" gridLines="1"/>
      <pageSetup paperSize="9" scale="85" fitToHeight="15" orientation="landscape" blackAndWhite="1" horizontalDpi="4294967292" verticalDpi="300" r:id="rId11"/>
      <headerFooter alignWithMargins="0">
        <oddHeader>&amp;L&amp;"Times New Roman,Bold"&amp;12TAXICARD&amp;C&amp;"Times New Roman,Bold"&amp;12COMPLAINTS STATISTICS 
APRIL 2000 - MARCH 2001</oddHeader>
        <oddFooter>&amp;R&amp;"Times New Roman,Italic"&amp;6&amp;F &amp;P &amp;D</oddFooter>
      </headerFooter>
    </customSheetView>
    <customSheetView guid="{00354E9F-DD97-4482-9702-3202D73AD0E2}" scale="85" showPageBreaks="1" printArea="1" showRuler="0" topLeftCell="A705">
      <pane xSplit="1" topLeftCell="B1" activePane="topRight" state="frozenSplit"/>
      <selection pane="topRight" activeCell="O147" sqref="O147"/>
      <rowBreaks count="38" manualBreakCount="38">
        <brk id="17" max="16383" man="1"/>
        <brk id="35" max="16383" man="1"/>
        <brk id="52" max="16383" man="1"/>
        <brk id="69" max="16383" man="1"/>
        <brk id="86" max="16383" man="1"/>
        <brk id="117" max="16383" man="1"/>
        <brk id="147" max="16383" man="1"/>
        <brk id="165" max="16383" man="1"/>
        <brk id="183" max="16383" man="1"/>
        <brk id="201" max="16383" man="1"/>
        <brk id="219" max="16383" man="1"/>
        <brk id="251" max="16383" man="1"/>
        <brk id="283" max="16383" man="1"/>
        <brk id="301" max="16383" man="1"/>
        <brk id="319" max="16383" man="1"/>
        <brk id="337" max="16383" man="1"/>
        <brk id="355" max="16383" man="1"/>
        <brk id="373" max="16383" man="1"/>
        <brk id="405" max="16383" man="1"/>
        <brk id="437" max="16383" man="1"/>
        <brk id="455" max="16383" man="1"/>
        <brk id="487" max="16383" man="1"/>
        <brk id="505" max="16383" man="1"/>
        <brk id="523" max="16383" man="1"/>
        <brk id="541" max="16383" man="1"/>
        <brk id="559" max="16383" man="1"/>
        <brk id="577" max="16383" man="1"/>
        <brk id="609" max="16383" man="1"/>
        <brk id="627" max="16383" man="1"/>
        <brk id="659" max="16383" man="1"/>
        <brk id="677" max="16383" man="1"/>
        <brk id="709" max="16383" man="1"/>
        <brk id="729" max="16383" man="1"/>
        <brk id="752" max="65535" man="1"/>
        <brk id="782" max="65535" man="1"/>
        <brk id="812" max="65535" man="1"/>
        <brk id="842" max="65535" man="1"/>
        <brk id="872" max="65535" man="1"/>
      </rowBreaks>
      <pageMargins left="0.39370078740157483" right="0.39370078740157483" top="0.98425196850393704" bottom="0.39370078740157483" header="0.39370078740157483" footer="3.937007874015748E-2"/>
      <printOptions horizontalCentered="1" gridLines="1"/>
      <pageSetup paperSize="9" scale="85" fitToHeight="15" orientation="landscape" blackAndWhite="1" horizontalDpi="4294967292" verticalDpi="300" r:id="rId12"/>
      <headerFooter alignWithMargins="0">
        <oddHeader>&amp;L&amp;"Times New Roman,Bold"&amp;12TAXICARD&amp;C&amp;"Times New Roman,Bold"&amp;12COMPLAINTS STATISTICS 
APRIL 2003 - MARCH 2004</oddHeader>
        <oddFooter>&amp;R&amp;"Times New Roman,Italic"&amp;6&amp;F &amp;P &amp;D</oddFooter>
      </headerFooter>
    </customSheetView>
    <customSheetView guid="{53E54750-EB7B-4534-9E39-36B4D05ACAEB}" scale="90" showRuler="0">
      <pane xSplit="1" topLeftCell="B1" activePane="topRight" state="frozenSplit"/>
      <selection pane="topRight" activeCell="O24" sqref="O24"/>
      <rowBreaks count="38" manualBreakCount="38">
        <brk id="17" max="16383" man="1"/>
        <brk id="35" max="16383" man="1"/>
        <brk id="52" max="16383" man="1"/>
        <brk id="69" max="16383" man="1"/>
        <brk id="86" max="16383" man="1"/>
        <brk id="117" max="16383" man="1"/>
        <brk id="147" max="16383" man="1"/>
        <brk id="165" max="16383" man="1"/>
        <brk id="183" max="16383" man="1"/>
        <brk id="201" max="16383" man="1"/>
        <brk id="219" max="16383" man="1"/>
        <brk id="251" max="16383" man="1"/>
        <brk id="283" max="16383" man="1"/>
        <brk id="301" max="16383" man="1"/>
        <brk id="319" max="16383" man="1"/>
        <brk id="337" max="16383" man="1"/>
        <brk id="355" max="16383" man="1"/>
        <brk id="373" max="16383" man="1"/>
        <brk id="405" max="16383" man="1"/>
        <brk id="437" max="16383" man="1"/>
        <brk id="455" max="16383" man="1"/>
        <brk id="487" max="16383" man="1"/>
        <brk id="505" max="16383" man="1"/>
        <brk id="523" max="16383" man="1"/>
        <brk id="541" max="16383" man="1"/>
        <brk id="559" max="16383" man="1"/>
        <brk id="577" max="16383" man="1"/>
        <brk id="609" max="16383" man="1"/>
        <brk id="627" max="16383" man="1"/>
        <brk id="659" max="16383" man="1"/>
        <brk id="677" max="16383" man="1"/>
        <brk id="709" max="16383" man="1"/>
        <brk id="729" max="16383" man="1"/>
        <brk id="752" max="65535" man="1"/>
        <brk id="782" max="65535" man="1"/>
        <brk id="812" max="65535" man="1"/>
        <brk id="842" max="65535" man="1"/>
        <brk id="872" max="65535" man="1"/>
      </rowBreaks>
      <pageMargins left="0.39370078740157483" right="0.39370078740157483" top="0.98425196850393704" bottom="0.39370078740157483" header="0.39370078740157483" footer="3.937007874015748E-2"/>
      <printOptions horizontalCentered="1" gridLines="1"/>
      <pageSetup paperSize="9" scale="85" fitToHeight="15" orientation="landscape" blackAndWhite="1" horizontalDpi="4294967292" verticalDpi="300" r:id="rId13"/>
      <headerFooter alignWithMargins="0">
        <oddHeader>&amp;L&amp;"Times New Roman,Bold"&amp;12TAXICARD&amp;C&amp;"Times New Roman,Bold"&amp;12COMPLAINTS STATISTICS 
APRIL 2004- MARCH 2005</oddHeader>
        <oddFooter>&amp;R&amp;"Times New Roman,Italic"&amp;6&amp;F &amp;P &amp;D</oddFooter>
      </headerFooter>
    </customSheetView>
    <customSheetView guid="{A9DEFEA3-D23F-4755-A477-C77D98287ADE}" scale="90" showRuler="0" topLeftCell="A16">
      <pane xSplit="1" topLeftCell="B1" activePane="topRight" state="frozenSplit"/>
      <selection pane="topRight" activeCell="A19" sqref="A19:O34"/>
      <rowBreaks count="38" manualBreakCount="38">
        <brk id="17" max="16383" man="1"/>
        <brk id="35" max="16383" man="1"/>
        <brk id="52" max="16383" man="1"/>
        <brk id="69" max="16383" man="1"/>
        <brk id="86" max="16383" man="1"/>
        <brk id="117" max="16383" man="1"/>
        <brk id="147" max="16383" man="1"/>
        <brk id="165" max="16383" man="1"/>
        <brk id="183" max="16383" man="1"/>
        <brk id="201" max="16383" man="1"/>
        <brk id="219" max="16383" man="1"/>
        <brk id="251" max="16383" man="1"/>
        <brk id="283" max="16383" man="1"/>
        <brk id="301" max="16383" man="1"/>
        <brk id="319" max="16383" man="1"/>
        <brk id="337" max="16383" man="1"/>
        <brk id="355" max="16383" man="1"/>
        <brk id="373" max="16383" man="1"/>
        <brk id="405" max="16383" man="1"/>
        <brk id="437" max="16383" man="1"/>
        <brk id="455" max="16383" man="1"/>
        <brk id="487" max="16383" man="1"/>
        <brk id="505" max="16383" man="1"/>
        <brk id="523" max="16383" man="1"/>
        <brk id="541" max="16383" man="1"/>
        <brk id="559" max="16383" man="1"/>
        <brk id="577" max="16383" man="1"/>
        <brk id="609" max="16383" man="1"/>
        <brk id="627" max="16383" man="1"/>
        <brk id="659" max="16383" man="1"/>
        <brk id="677" max="16383" man="1"/>
        <brk id="709" max="16383" man="1"/>
        <brk id="729" max="16383" man="1"/>
        <brk id="752" max="65535" man="1"/>
        <brk id="782" max="65535" man="1"/>
        <brk id="812" max="65535" man="1"/>
        <brk id="842" max="65535" man="1"/>
        <brk id="872" max="65535" man="1"/>
      </rowBreaks>
      <pageMargins left="0.39370078740157483" right="0.39370078740157483" top="0.98425196850393704" bottom="0.39370078740157483" header="0.39370078740157483" footer="3.937007874015748E-2"/>
      <printOptions horizontalCentered="1" gridLines="1"/>
      <pageSetup paperSize="9" scale="85" fitToHeight="15" orientation="landscape" blackAndWhite="1" horizontalDpi="4294967292" verticalDpi="300" r:id="rId14"/>
      <headerFooter alignWithMargins="0">
        <oddHeader>&amp;L&amp;"Times New Roman,Bold"&amp;12TAXICARD&amp;C&amp;"Times New Roman,Bold"&amp;12COMPLAINTS STATISTICS 
APRIL 2004- MARCH 2005</oddHeader>
        <oddFooter>&amp;R&amp;"Times New Roman,Italic"&amp;6&amp;F &amp;P &amp;D</oddFooter>
      </headerFooter>
    </customSheetView>
  </customSheetViews>
  <mergeCells count="341">
    <mergeCell ref="B26:B41"/>
    <mergeCell ref="B12:B25"/>
    <mergeCell ref="B86:C86"/>
    <mergeCell ref="B87:C87"/>
    <mergeCell ref="B88:C88"/>
    <mergeCell ref="B90:C90"/>
    <mergeCell ref="B85:C85"/>
    <mergeCell ref="B304:C304"/>
    <mergeCell ref="B54:B67"/>
    <mergeCell ref="B68:B83"/>
    <mergeCell ref="B96:B109"/>
    <mergeCell ref="B110:B125"/>
    <mergeCell ref="B180:B193"/>
    <mergeCell ref="B194:B209"/>
    <mergeCell ref="B264:B277"/>
    <mergeCell ref="B278:B293"/>
    <mergeCell ref="B176:C176"/>
    <mergeCell ref="B178:C178"/>
    <mergeCell ref="B211:C211"/>
    <mergeCell ref="B260:C260"/>
    <mergeCell ref="B262:C262"/>
    <mergeCell ref="B295:C295"/>
    <mergeCell ref="B255:C255"/>
    <mergeCell ref="B134:C134"/>
    <mergeCell ref="B136:C136"/>
    <mergeCell ref="B174:C174"/>
    <mergeCell ref="B218:C218"/>
    <mergeCell ref="B220:C220"/>
    <mergeCell ref="B253:C253"/>
    <mergeCell ref="Q1:Q2"/>
    <mergeCell ref="B43:C43"/>
    <mergeCell ref="B1391:C1391"/>
    <mergeCell ref="B1392:C1392"/>
    <mergeCell ref="Q43:Q44"/>
    <mergeCell ref="Q85:Q86"/>
    <mergeCell ref="Q127:Q128"/>
    <mergeCell ref="Q169:Q170"/>
    <mergeCell ref="B172:C172"/>
    <mergeCell ref="B138:B151"/>
    <mergeCell ref="B152:B167"/>
    <mergeCell ref="B127:C127"/>
    <mergeCell ref="B169:C169"/>
    <mergeCell ref="Q211:Q212"/>
    <mergeCell ref="B212:C212"/>
    <mergeCell ref="B213:C213"/>
    <mergeCell ref="B214:C214"/>
    <mergeCell ref="B216:C216"/>
    <mergeCell ref="Q253:Q254"/>
    <mergeCell ref="B1394:C1394"/>
    <mergeCell ref="B1396:C1396"/>
    <mergeCell ref="B1398:C1398"/>
    <mergeCell ref="B1:C1"/>
    <mergeCell ref="B2:C2"/>
    <mergeCell ref="B3:C3"/>
    <mergeCell ref="B4:C4"/>
    <mergeCell ref="B6:C6"/>
    <mergeCell ref="B8:C8"/>
    <mergeCell ref="B10:C10"/>
    <mergeCell ref="B50:C50"/>
    <mergeCell ref="B52:C52"/>
    <mergeCell ref="B44:C44"/>
    <mergeCell ref="B45:C45"/>
    <mergeCell ref="B46:C46"/>
    <mergeCell ref="B48:C48"/>
    <mergeCell ref="B92:C92"/>
    <mergeCell ref="B94:C94"/>
    <mergeCell ref="B128:C128"/>
    <mergeCell ref="B129:C129"/>
    <mergeCell ref="B130:C130"/>
    <mergeCell ref="B132:C132"/>
    <mergeCell ref="B170:C170"/>
    <mergeCell ref="B171:C171"/>
    <mergeCell ref="B254:C254"/>
    <mergeCell ref="B256:C256"/>
    <mergeCell ref="B258:C258"/>
    <mergeCell ref="B222:B235"/>
    <mergeCell ref="B236:B251"/>
    <mergeCell ref="Q295:Q296"/>
    <mergeCell ref="B296:C296"/>
    <mergeCell ref="B297:C297"/>
    <mergeCell ref="B298:C298"/>
    <mergeCell ref="B348:B361"/>
    <mergeCell ref="B362:B377"/>
    <mergeCell ref="B337:C337"/>
    <mergeCell ref="Q379:Q380"/>
    <mergeCell ref="B380:C380"/>
    <mergeCell ref="B381:C381"/>
    <mergeCell ref="B382:C382"/>
    <mergeCell ref="B384:C384"/>
    <mergeCell ref="B300:C300"/>
    <mergeCell ref="B344:C344"/>
    <mergeCell ref="B346:C346"/>
    <mergeCell ref="B306:B319"/>
    <mergeCell ref="B320:B335"/>
    <mergeCell ref="B302:C302"/>
    <mergeCell ref="Q337:Q338"/>
    <mergeCell ref="B338:C338"/>
    <mergeCell ref="B339:C339"/>
    <mergeCell ref="B340:C340"/>
    <mergeCell ref="B342:C342"/>
    <mergeCell ref="B390:B403"/>
    <mergeCell ref="B404:B419"/>
    <mergeCell ref="B379:C379"/>
    <mergeCell ref="Q421:Q422"/>
    <mergeCell ref="B422:C422"/>
    <mergeCell ref="B423:C423"/>
    <mergeCell ref="B424:C424"/>
    <mergeCell ref="B426:C426"/>
    <mergeCell ref="B386:C386"/>
    <mergeCell ref="B388:C388"/>
    <mergeCell ref="B470:C470"/>
    <mergeCell ref="B432:B445"/>
    <mergeCell ref="B446:B461"/>
    <mergeCell ref="B421:C421"/>
    <mergeCell ref="B472:C472"/>
    <mergeCell ref="B505:C505"/>
    <mergeCell ref="Q463:Q464"/>
    <mergeCell ref="B464:C464"/>
    <mergeCell ref="B465:C465"/>
    <mergeCell ref="B466:C466"/>
    <mergeCell ref="B468:C468"/>
    <mergeCell ref="B474:B487"/>
    <mergeCell ref="B488:B503"/>
    <mergeCell ref="B463:C463"/>
    <mergeCell ref="B428:C428"/>
    <mergeCell ref="B430:C430"/>
    <mergeCell ref="B512:C512"/>
    <mergeCell ref="B514:C514"/>
    <mergeCell ref="B547:C547"/>
    <mergeCell ref="Q505:Q506"/>
    <mergeCell ref="B506:C506"/>
    <mergeCell ref="B507:C507"/>
    <mergeCell ref="B508:C508"/>
    <mergeCell ref="B510:C510"/>
    <mergeCell ref="B516:B529"/>
    <mergeCell ref="B530:B545"/>
    <mergeCell ref="B554:C554"/>
    <mergeCell ref="B556:C556"/>
    <mergeCell ref="B589:C589"/>
    <mergeCell ref="Q547:Q548"/>
    <mergeCell ref="B548:C548"/>
    <mergeCell ref="B549:C549"/>
    <mergeCell ref="B550:C550"/>
    <mergeCell ref="B552:C552"/>
    <mergeCell ref="B558:B571"/>
    <mergeCell ref="B572:B587"/>
    <mergeCell ref="B596:C596"/>
    <mergeCell ref="B598:C598"/>
    <mergeCell ref="B631:C631"/>
    <mergeCell ref="Q589:Q590"/>
    <mergeCell ref="B590:C590"/>
    <mergeCell ref="B591:C591"/>
    <mergeCell ref="B592:C592"/>
    <mergeCell ref="B594:C594"/>
    <mergeCell ref="B600:B613"/>
    <mergeCell ref="B614:B629"/>
    <mergeCell ref="B638:C638"/>
    <mergeCell ref="B640:C640"/>
    <mergeCell ref="B673:C673"/>
    <mergeCell ref="Q631:Q632"/>
    <mergeCell ref="B632:C632"/>
    <mergeCell ref="B633:C633"/>
    <mergeCell ref="B634:C634"/>
    <mergeCell ref="B636:C636"/>
    <mergeCell ref="B642:B655"/>
    <mergeCell ref="B656:B671"/>
    <mergeCell ref="B680:C680"/>
    <mergeCell ref="B682:C682"/>
    <mergeCell ref="B715:C715"/>
    <mergeCell ref="Q673:Q674"/>
    <mergeCell ref="B674:C674"/>
    <mergeCell ref="B675:C675"/>
    <mergeCell ref="B676:C676"/>
    <mergeCell ref="B678:C678"/>
    <mergeCell ref="B684:B697"/>
    <mergeCell ref="B698:B713"/>
    <mergeCell ref="B722:C722"/>
    <mergeCell ref="B724:C724"/>
    <mergeCell ref="B757:C757"/>
    <mergeCell ref="Q715:Q716"/>
    <mergeCell ref="B716:C716"/>
    <mergeCell ref="B717:C717"/>
    <mergeCell ref="B718:C718"/>
    <mergeCell ref="B720:C720"/>
    <mergeCell ref="B726:B739"/>
    <mergeCell ref="B740:B755"/>
    <mergeCell ref="B764:C764"/>
    <mergeCell ref="B766:C766"/>
    <mergeCell ref="B799:C799"/>
    <mergeCell ref="Q757:Q758"/>
    <mergeCell ref="B758:C758"/>
    <mergeCell ref="B759:C759"/>
    <mergeCell ref="B760:C760"/>
    <mergeCell ref="B762:C762"/>
    <mergeCell ref="B768:B781"/>
    <mergeCell ref="B782:B797"/>
    <mergeCell ref="B806:C806"/>
    <mergeCell ref="B808:C808"/>
    <mergeCell ref="B841:C841"/>
    <mergeCell ref="Q799:Q800"/>
    <mergeCell ref="B800:C800"/>
    <mergeCell ref="B801:C801"/>
    <mergeCell ref="B802:C802"/>
    <mergeCell ref="B804:C804"/>
    <mergeCell ref="B810:B823"/>
    <mergeCell ref="B824:B839"/>
    <mergeCell ref="B848:C848"/>
    <mergeCell ref="B850:C850"/>
    <mergeCell ref="B883:C883"/>
    <mergeCell ref="Q841:Q842"/>
    <mergeCell ref="B842:C842"/>
    <mergeCell ref="B843:C843"/>
    <mergeCell ref="B844:C844"/>
    <mergeCell ref="B846:C846"/>
    <mergeCell ref="B852:B865"/>
    <mergeCell ref="B866:B881"/>
    <mergeCell ref="B890:C890"/>
    <mergeCell ref="B892:C892"/>
    <mergeCell ref="B925:C925"/>
    <mergeCell ref="Q883:Q884"/>
    <mergeCell ref="B884:C884"/>
    <mergeCell ref="B885:C885"/>
    <mergeCell ref="B886:C886"/>
    <mergeCell ref="B888:C888"/>
    <mergeCell ref="B894:B907"/>
    <mergeCell ref="B908:B923"/>
    <mergeCell ref="B932:C932"/>
    <mergeCell ref="B934:C934"/>
    <mergeCell ref="B967:C967"/>
    <mergeCell ref="Q925:Q926"/>
    <mergeCell ref="B926:C926"/>
    <mergeCell ref="B927:C927"/>
    <mergeCell ref="B928:C928"/>
    <mergeCell ref="B930:C930"/>
    <mergeCell ref="B936:B949"/>
    <mergeCell ref="B950:B965"/>
    <mergeCell ref="B974:C974"/>
    <mergeCell ref="B976:C976"/>
    <mergeCell ref="B1009:C1009"/>
    <mergeCell ref="Q967:Q968"/>
    <mergeCell ref="B968:C968"/>
    <mergeCell ref="B969:C969"/>
    <mergeCell ref="B970:C970"/>
    <mergeCell ref="B972:C972"/>
    <mergeCell ref="B978:B991"/>
    <mergeCell ref="B992:B1007"/>
    <mergeCell ref="B1016:C1016"/>
    <mergeCell ref="B1018:C1018"/>
    <mergeCell ref="B1051:C1051"/>
    <mergeCell ref="Q1009:Q1010"/>
    <mergeCell ref="B1010:C1010"/>
    <mergeCell ref="B1011:C1011"/>
    <mergeCell ref="B1012:C1012"/>
    <mergeCell ref="B1014:C1014"/>
    <mergeCell ref="B1020:B1033"/>
    <mergeCell ref="B1034:B1049"/>
    <mergeCell ref="B1058:C1058"/>
    <mergeCell ref="B1060:C1060"/>
    <mergeCell ref="B1093:C1093"/>
    <mergeCell ref="Q1051:Q1052"/>
    <mergeCell ref="B1052:C1052"/>
    <mergeCell ref="B1053:C1053"/>
    <mergeCell ref="B1054:C1054"/>
    <mergeCell ref="B1056:C1056"/>
    <mergeCell ref="B1062:B1075"/>
    <mergeCell ref="B1076:B1091"/>
    <mergeCell ref="B1100:C1100"/>
    <mergeCell ref="B1102:C1102"/>
    <mergeCell ref="B1135:C1135"/>
    <mergeCell ref="Q1093:Q1094"/>
    <mergeCell ref="B1094:C1094"/>
    <mergeCell ref="B1095:C1095"/>
    <mergeCell ref="B1096:C1096"/>
    <mergeCell ref="B1098:C1098"/>
    <mergeCell ref="B1104:B1117"/>
    <mergeCell ref="B1118:B1133"/>
    <mergeCell ref="B1142:C1142"/>
    <mergeCell ref="B1144:C1144"/>
    <mergeCell ref="B1177:C1177"/>
    <mergeCell ref="Q1135:Q1136"/>
    <mergeCell ref="B1136:C1136"/>
    <mergeCell ref="B1137:C1137"/>
    <mergeCell ref="B1138:C1138"/>
    <mergeCell ref="B1140:C1140"/>
    <mergeCell ref="B1146:B1159"/>
    <mergeCell ref="B1160:B1175"/>
    <mergeCell ref="B1184:C1184"/>
    <mergeCell ref="B1186:C1186"/>
    <mergeCell ref="B1219:C1219"/>
    <mergeCell ref="Q1177:Q1178"/>
    <mergeCell ref="B1178:C1178"/>
    <mergeCell ref="B1179:C1179"/>
    <mergeCell ref="B1180:C1180"/>
    <mergeCell ref="B1182:C1182"/>
    <mergeCell ref="B1188:B1201"/>
    <mergeCell ref="B1202:B1217"/>
    <mergeCell ref="B1226:C1226"/>
    <mergeCell ref="B1228:C1228"/>
    <mergeCell ref="B1261:C1261"/>
    <mergeCell ref="Q1219:Q1220"/>
    <mergeCell ref="B1220:C1220"/>
    <mergeCell ref="B1221:C1221"/>
    <mergeCell ref="B1222:C1222"/>
    <mergeCell ref="B1224:C1224"/>
    <mergeCell ref="B1230:B1243"/>
    <mergeCell ref="B1244:B1259"/>
    <mergeCell ref="B1356:B1369"/>
    <mergeCell ref="B1268:C1268"/>
    <mergeCell ref="B1270:C1270"/>
    <mergeCell ref="B1303:C1303"/>
    <mergeCell ref="Q1261:Q1262"/>
    <mergeCell ref="B1262:C1262"/>
    <mergeCell ref="B1263:C1263"/>
    <mergeCell ref="B1264:C1264"/>
    <mergeCell ref="B1266:C1266"/>
    <mergeCell ref="B1272:B1285"/>
    <mergeCell ref="B1286:B1301"/>
    <mergeCell ref="B1370:B1385"/>
    <mergeCell ref="B1400:B1413"/>
    <mergeCell ref="B1414:B1429"/>
    <mergeCell ref="B1310:C1310"/>
    <mergeCell ref="B1312:C1312"/>
    <mergeCell ref="B1345:C1345"/>
    <mergeCell ref="Q1303:Q1304"/>
    <mergeCell ref="B1304:C1304"/>
    <mergeCell ref="B1305:C1305"/>
    <mergeCell ref="B1306:C1306"/>
    <mergeCell ref="B1308:C1308"/>
    <mergeCell ref="B1314:B1327"/>
    <mergeCell ref="B1328:B1343"/>
    <mergeCell ref="B1352:C1352"/>
    <mergeCell ref="B1354:C1354"/>
    <mergeCell ref="B1389:C1389"/>
    <mergeCell ref="Q1345:Q1346"/>
    <mergeCell ref="B1346:C1346"/>
    <mergeCell ref="B1347:C1347"/>
    <mergeCell ref="B1348:C1348"/>
    <mergeCell ref="B1350:C1350"/>
    <mergeCell ref="B1387:P1387"/>
    <mergeCell ref="Q1389:Q1390"/>
    <mergeCell ref="B1390:C1390"/>
  </mergeCells>
  <phoneticPr fontId="0" type="noConversion"/>
  <printOptions horizontalCentered="1"/>
  <pageMargins left="0" right="0" top="1.1811023622047245" bottom="0.39370078740157483" header="0.39370078740157483" footer="3.937007874015748E-2"/>
  <pageSetup paperSize="9" scale="10" orientation="landscape" copies="4" r:id="rId15"/>
  <headerFooter alignWithMargins="0">
    <oddHeader>Page &amp;P&amp;RTAXICARD COMPLAINTS 2015-2016</oddHeader>
  </headerFooter>
  <rowBreaks count="30" manualBreakCount="30">
    <brk id="57" max="16383" man="1"/>
    <brk id="104" max="16383" man="1"/>
    <brk id="135" max="16383" man="1"/>
    <brk id="163" max="16383" man="1"/>
    <brk id="193" max="16383" man="1"/>
    <brk id="224" max="16383" man="1"/>
    <brk id="255" max="16383" man="1"/>
    <brk id="282" max="16383" man="1"/>
    <brk id="313" max="16383" man="1"/>
    <brk id="344" max="16383" man="1"/>
    <brk id="372" max="16383" man="1"/>
    <brk id="402" max="16383" man="1"/>
    <brk id="433" max="16383" man="1"/>
    <brk id="464" max="16383" man="1"/>
    <brk id="491" max="16383" man="1"/>
    <brk id="522" max="16383" man="1"/>
    <brk id="553" max="16383" man="1"/>
    <brk id="581" max="16383" man="1"/>
    <brk id="611" max="16383" man="1"/>
    <brk id="642" max="16383" man="1"/>
    <brk id="673" max="16383" man="1"/>
    <brk id="700" max="16383" man="1"/>
    <brk id="731" max="16383" man="1"/>
    <brk id="762" max="16383" man="1"/>
    <brk id="790" max="16383" man="1"/>
    <brk id="820" max="16383" man="1"/>
    <brk id="851" max="16383" man="1"/>
    <brk id="882" max="16383" man="1"/>
    <brk id="909" max="16383" man="1"/>
    <brk id="9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MTHLY STATS</vt:lpstr>
      <vt:lpstr>COMPLAINTS</vt:lpstr>
      <vt:lpstr>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LATU</dc:creator>
  <cp:lastModifiedBy>Fatmira Hoxha</cp:lastModifiedBy>
  <cp:lastPrinted>2019-09-12T12:49:48Z</cp:lastPrinted>
  <dcterms:created xsi:type="dcterms:W3CDTF">1999-04-27T13:45:35Z</dcterms:created>
  <dcterms:modified xsi:type="dcterms:W3CDTF">2021-02-15T11:19:13Z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W-DOC-ID">
    <vt:lpwstr>e6e0317a607f474d8cabcd142d8f2e5d</vt:lpwstr>
  </property>
  <property fmtid="{D5CDD505-2E9C-101B-9397-08002B2CF9AE}" pid="3" name="SW-FINGERPRINT">
    <vt:lpwstr/>
  </property>
</Properties>
</file>